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DC15CCB0-C04A-4381-9744-530D6B11ADEB}" xr6:coauthVersionLast="47" xr6:coauthVersionMax="47" xr10:uidLastSave="{00000000-0000-0000-0000-000000000000}"/>
  <bookViews>
    <workbookView xWindow="1785" yWindow="4185" windowWidth="21600" windowHeight="11295" activeTab="4"/>
  </bookViews>
  <sheets>
    <sheet name="2-3 ТЕ" sheetId="1" r:id="rId1"/>
    <sheet name="4-5 ВИРОБ" sheetId="2" r:id="rId2"/>
    <sheet name="6-7 ТРАНС" sheetId="3" r:id="rId3"/>
    <sheet name="8-9 ПОСТ" sheetId="4" r:id="rId4"/>
    <sheet name="10-11 послуга" sheetId="5" r:id="rId5"/>
  </sheets>
  <definedNames>
    <definedName name="_xlnm.Print_Area" localSheetId="2">'6-7 ТРАНС'!$A$1:$M$44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I9" i="4"/>
  <c r="L9" i="4"/>
  <c r="L10" i="2"/>
  <c r="L11" i="2"/>
  <c r="L12" i="2"/>
  <c r="L13" i="2"/>
  <c r="L9" i="2"/>
  <c r="D10" i="4"/>
  <c r="I10" i="4"/>
  <c r="L10" i="4" s="1"/>
  <c r="L14" i="2"/>
  <c r="D12" i="4"/>
  <c r="I12" i="4" s="1"/>
  <c r="L12" i="4" s="1"/>
  <c r="L16" i="2"/>
  <c r="D13" i="4"/>
  <c r="I13" i="4"/>
  <c r="L13" i="4" s="1"/>
  <c r="L17" i="2"/>
  <c r="L15" i="2" s="1"/>
  <c r="D15" i="4"/>
  <c r="I15" i="4"/>
  <c r="L15" i="4"/>
  <c r="L19" i="2"/>
  <c r="D16" i="4"/>
  <c r="I16" i="4"/>
  <c r="I14" i="4" s="1"/>
  <c r="L16" i="4"/>
  <c r="L14" i="4" s="1"/>
  <c r="L20" i="2"/>
  <c r="L20" i="1" s="1"/>
  <c r="D18" i="4"/>
  <c r="I18" i="4"/>
  <c r="I17" i="4" s="1"/>
  <c r="L22" i="2"/>
  <c r="D19" i="4"/>
  <c r="I19" i="4"/>
  <c r="L19" i="4" s="1"/>
  <c r="L23" i="2"/>
  <c r="D20" i="4"/>
  <c r="I20" i="4"/>
  <c r="L20" i="4"/>
  <c r="L24" i="2"/>
  <c r="L21" i="2"/>
  <c r="C14" i="5"/>
  <c r="D11" i="4"/>
  <c r="D8" i="4" s="1"/>
  <c r="D22" i="4" s="1"/>
  <c r="I11" i="4"/>
  <c r="I10" i="2"/>
  <c r="I9" i="2" s="1"/>
  <c r="I8" i="2" s="1"/>
  <c r="I11" i="2"/>
  <c r="I12" i="2"/>
  <c r="I13" i="2"/>
  <c r="I14" i="2"/>
  <c r="I16" i="2"/>
  <c r="I17" i="2"/>
  <c r="I15" i="2"/>
  <c r="I19" i="2"/>
  <c r="I20" i="2"/>
  <c r="I18" i="2"/>
  <c r="I22" i="2"/>
  <c r="I23" i="2"/>
  <c r="I21" i="2" s="1"/>
  <c r="I24" i="2"/>
  <c r="E14" i="5"/>
  <c r="D14" i="5"/>
  <c r="J24" i="4"/>
  <c r="J29" i="4"/>
  <c r="J33" i="1"/>
  <c r="J25" i="4"/>
  <c r="J26" i="4"/>
  <c r="J27" i="4" s="1"/>
  <c r="J28" i="2"/>
  <c r="J29" i="2"/>
  <c r="J30" i="2"/>
  <c r="J32" i="2"/>
  <c r="J32" i="4"/>
  <c r="K29" i="3"/>
  <c r="K28" i="3"/>
  <c r="K31" i="3" s="1"/>
  <c r="J27" i="3"/>
  <c r="J28" i="1" s="1"/>
  <c r="J40" i="1" s="1"/>
  <c r="K27" i="3"/>
  <c r="L27" i="1"/>
  <c r="D32" i="1"/>
  <c r="K27" i="1"/>
  <c r="I27" i="1"/>
  <c r="H27" i="1"/>
  <c r="D22" i="3"/>
  <c r="I22" i="3" s="1"/>
  <c r="D23" i="3"/>
  <c r="D21" i="3"/>
  <c r="D19" i="3"/>
  <c r="D18" i="3"/>
  <c r="I18" i="3" s="1"/>
  <c r="D16" i="3"/>
  <c r="D15" i="3"/>
  <c r="D14" i="3" s="1"/>
  <c r="D13" i="3"/>
  <c r="I13" i="3" s="1"/>
  <c r="D11" i="3"/>
  <c r="I11" i="3" s="1"/>
  <c r="M11" i="3" s="1"/>
  <c r="D12" i="3"/>
  <c r="I12" i="3" s="1"/>
  <c r="M12" i="3" s="1"/>
  <c r="D10" i="3"/>
  <c r="D9" i="3" s="1"/>
  <c r="I9" i="3" s="1"/>
  <c r="D16" i="2"/>
  <c r="D15" i="2" s="1"/>
  <c r="D15" i="1" s="1"/>
  <c r="D24" i="2"/>
  <c r="D23" i="2"/>
  <c r="D22" i="2"/>
  <c r="D21" i="2" s="1"/>
  <c r="D20" i="2"/>
  <c r="D20" i="1" s="1"/>
  <c r="D19" i="2"/>
  <c r="D18" i="2" s="1"/>
  <c r="D17" i="2"/>
  <c r="D17" i="1" s="1"/>
  <c r="D12" i="2"/>
  <c r="D9" i="2" s="1"/>
  <c r="D8" i="2" s="1"/>
  <c r="D13" i="2"/>
  <c r="D13" i="1" s="1"/>
  <c r="D14" i="2"/>
  <c r="D11" i="2"/>
  <c r="D10" i="2"/>
  <c r="D36" i="2" s="1"/>
  <c r="J13" i="1"/>
  <c r="K13" i="1"/>
  <c r="C13" i="1"/>
  <c r="C12" i="1"/>
  <c r="C11" i="1"/>
  <c r="C10" i="1"/>
  <c r="C9" i="1"/>
  <c r="H9" i="2"/>
  <c r="M27" i="5"/>
  <c r="M28" i="5" s="1"/>
  <c r="I27" i="5"/>
  <c r="I18" i="5"/>
  <c r="I20" i="5" s="1"/>
  <c r="I24" i="5" s="1"/>
  <c r="D13" i="5"/>
  <c r="D18" i="5" s="1"/>
  <c r="D20" i="5" s="1"/>
  <c r="D24" i="5" s="1"/>
  <c r="E13" i="5"/>
  <c r="E18" i="5"/>
  <c r="E20" i="5"/>
  <c r="E24" i="5" s="1"/>
  <c r="C13" i="5"/>
  <c r="C18" i="5"/>
  <c r="C20" i="5" s="1"/>
  <c r="C24" i="5" s="1"/>
  <c r="L10" i="1"/>
  <c r="L35" i="1" s="1"/>
  <c r="H13" i="1"/>
  <c r="H9" i="3"/>
  <c r="C14" i="1"/>
  <c r="C16" i="1"/>
  <c r="C17" i="1"/>
  <c r="C19" i="1"/>
  <c r="C20" i="1"/>
  <c r="C22" i="1"/>
  <c r="C23" i="1"/>
  <c r="C24" i="1"/>
  <c r="C25" i="1"/>
  <c r="C32" i="1"/>
  <c r="D14" i="1"/>
  <c r="D16" i="1"/>
  <c r="D22" i="1"/>
  <c r="D23" i="1"/>
  <c r="D24" i="1"/>
  <c r="D25" i="1"/>
  <c r="D10" i="1"/>
  <c r="D17" i="4"/>
  <c r="D14" i="4"/>
  <c r="D26" i="4"/>
  <c r="D25" i="4"/>
  <c r="D27" i="4" s="1"/>
  <c r="D31" i="1" s="1"/>
  <c r="D29" i="3"/>
  <c r="D31" i="3" s="1"/>
  <c r="D28" i="3"/>
  <c r="D28" i="1"/>
  <c r="D29" i="2"/>
  <c r="D32" i="2" s="1"/>
  <c r="D30" i="2"/>
  <c r="M23" i="5"/>
  <c r="M22" i="5"/>
  <c r="M13" i="5"/>
  <c r="M18" i="5" s="1"/>
  <c r="I23" i="5"/>
  <c r="I22" i="5" s="1"/>
  <c r="I13" i="5"/>
  <c r="D29" i="1"/>
  <c r="M20" i="5"/>
  <c r="M24" i="5"/>
  <c r="M26" i="5" s="1"/>
  <c r="M29" i="5" s="1"/>
  <c r="M30" i="5" s="1"/>
  <c r="M25" i="5"/>
  <c r="I16" i="3"/>
  <c r="I23" i="3"/>
  <c r="M23" i="3" s="1"/>
  <c r="L24" i="1" s="1"/>
  <c r="I21" i="3"/>
  <c r="I19" i="3"/>
  <c r="I10" i="3"/>
  <c r="M10" i="3"/>
  <c r="L11" i="1"/>
  <c r="L35" i="3"/>
  <c r="H35" i="3"/>
  <c r="M21" i="3"/>
  <c r="I22" i="1"/>
  <c r="M19" i="3"/>
  <c r="I20" i="1"/>
  <c r="M18" i="3"/>
  <c r="L19" i="1" s="1"/>
  <c r="I19" i="1"/>
  <c r="I18" i="1" s="1"/>
  <c r="M16" i="3"/>
  <c r="I17" i="1"/>
  <c r="K10" i="1"/>
  <c r="H10" i="1"/>
  <c r="H9" i="1" s="1"/>
  <c r="E27" i="5"/>
  <c r="D27" i="5"/>
  <c r="D32" i="5" s="1"/>
  <c r="C27" i="5"/>
  <c r="L11" i="4"/>
  <c r="I17" i="3"/>
  <c r="M9" i="3"/>
  <c r="I24" i="1"/>
  <c r="C21" i="2"/>
  <c r="K15" i="2"/>
  <c r="K15" i="1" s="1"/>
  <c r="C15" i="2"/>
  <c r="C9" i="2"/>
  <c r="L36" i="2"/>
  <c r="H17" i="4"/>
  <c r="C17" i="4"/>
  <c r="K17" i="4"/>
  <c r="K11" i="4"/>
  <c r="K12" i="1"/>
  <c r="K14" i="1"/>
  <c r="K20" i="1"/>
  <c r="K11" i="1"/>
  <c r="L17" i="3"/>
  <c r="C11" i="4"/>
  <c r="C15" i="1" s="1"/>
  <c r="K9" i="2"/>
  <c r="K9" i="1" s="1"/>
  <c r="H18" i="2"/>
  <c r="K21" i="2"/>
  <c r="K21" i="1" s="1"/>
  <c r="H11" i="1"/>
  <c r="H12" i="1"/>
  <c r="H20" i="1"/>
  <c r="H22" i="1"/>
  <c r="H23" i="1"/>
  <c r="K14" i="4"/>
  <c r="H15" i="2"/>
  <c r="C18" i="2"/>
  <c r="K18" i="2"/>
  <c r="H21" i="2"/>
  <c r="K16" i="1"/>
  <c r="K17" i="1"/>
  <c r="K22" i="1"/>
  <c r="K23" i="1"/>
  <c r="K24" i="1"/>
  <c r="C35" i="3"/>
  <c r="C14" i="4"/>
  <c r="C18" i="1" s="1"/>
  <c r="H14" i="4"/>
  <c r="H8" i="4" s="1"/>
  <c r="H22" i="4" s="1"/>
  <c r="H32" i="4" s="1"/>
  <c r="H21" i="1"/>
  <c r="K19" i="1"/>
  <c r="C8" i="2"/>
  <c r="C26" i="2" s="1"/>
  <c r="C26" i="1" s="1"/>
  <c r="K18" i="1"/>
  <c r="H24" i="1"/>
  <c r="H16" i="1"/>
  <c r="H15" i="1" s="1"/>
  <c r="H17" i="1"/>
  <c r="H19" i="1"/>
  <c r="H18" i="1" s="1"/>
  <c r="H14" i="1"/>
  <c r="K8" i="4"/>
  <c r="K22" i="4"/>
  <c r="C17" i="3"/>
  <c r="H11" i="4"/>
  <c r="L9" i="3"/>
  <c r="H20" i="3"/>
  <c r="H17" i="3"/>
  <c r="H14" i="3"/>
  <c r="L20" i="3"/>
  <c r="L14" i="3"/>
  <c r="L8" i="3" s="1"/>
  <c r="L25" i="3" s="1"/>
  <c r="L38" i="3" s="1"/>
  <c r="C8" i="4"/>
  <c r="C22" i="4" s="1"/>
  <c r="C20" i="3"/>
  <c r="C25" i="3" s="1"/>
  <c r="C21" i="1"/>
  <c r="C14" i="3"/>
  <c r="K29" i="4"/>
  <c r="L25" i="4"/>
  <c r="L26" i="4"/>
  <c r="M29" i="3"/>
  <c r="M28" i="3"/>
  <c r="M31" i="3" s="1"/>
  <c r="C9" i="3"/>
  <c r="C8" i="3" s="1"/>
  <c r="H8" i="3"/>
  <c r="H25" i="3"/>
  <c r="K25" i="4"/>
  <c r="K27" i="4" s="1"/>
  <c r="K26" i="4"/>
  <c r="K32" i="4"/>
  <c r="L27" i="4"/>
  <c r="I25" i="4"/>
  <c r="I29" i="1" s="1"/>
  <c r="I26" i="4"/>
  <c r="I25" i="1" s="1"/>
  <c r="C26" i="4"/>
  <c r="C25" i="4"/>
  <c r="L29" i="3"/>
  <c r="L28" i="3"/>
  <c r="I29" i="3"/>
  <c r="I28" i="3"/>
  <c r="L28" i="1"/>
  <c r="L30" i="2"/>
  <c r="L30" i="1"/>
  <c r="L29" i="2"/>
  <c r="L29" i="1"/>
  <c r="K28" i="1"/>
  <c r="K30" i="2"/>
  <c r="K30" i="1" s="1"/>
  <c r="K29" i="2"/>
  <c r="K32" i="2" s="1"/>
  <c r="H28" i="1"/>
  <c r="H30" i="2"/>
  <c r="H30" i="1" s="1"/>
  <c r="H29" i="2"/>
  <c r="H29" i="1" s="1"/>
  <c r="C29" i="2"/>
  <c r="C32" i="2" s="1"/>
  <c r="C30" i="2"/>
  <c r="C30" i="1" s="1"/>
  <c r="H25" i="4"/>
  <c r="H26" i="4"/>
  <c r="H29" i="4"/>
  <c r="C27" i="4"/>
  <c r="L31" i="3"/>
  <c r="H29" i="3"/>
  <c r="H28" i="3"/>
  <c r="I31" i="3"/>
  <c r="L32" i="2"/>
  <c r="L31" i="1" s="1"/>
  <c r="I28" i="1"/>
  <c r="I29" i="2"/>
  <c r="I32" i="2" s="1"/>
  <c r="I30" i="2"/>
  <c r="I30" i="1" s="1"/>
  <c r="H31" i="3"/>
  <c r="C29" i="3"/>
  <c r="C28" i="3"/>
  <c r="C31" i="3" s="1"/>
  <c r="C28" i="1"/>
  <c r="D26" i="2" l="1"/>
  <c r="I26" i="2"/>
  <c r="C33" i="3"/>
  <c r="C38" i="3"/>
  <c r="I8" i="4"/>
  <c r="I22" i="4" s="1"/>
  <c r="C40" i="1"/>
  <c r="D25" i="5"/>
  <c r="D26" i="5" s="1"/>
  <c r="C25" i="5"/>
  <c r="C26" i="5" s="1"/>
  <c r="I25" i="5"/>
  <c r="I26" i="5" s="1"/>
  <c r="I21" i="1"/>
  <c r="C32" i="4"/>
  <c r="C29" i="4"/>
  <c r="D29" i="4"/>
  <c r="D30" i="4" s="1"/>
  <c r="D32" i="4"/>
  <c r="L8" i="4"/>
  <c r="L22" i="4" s="1"/>
  <c r="H8" i="1"/>
  <c r="I20" i="3"/>
  <c r="M22" i="3"/>
  <c r="L23" i="1" s="1"/>
  <c r="I23" i="1"/>
  <c r="L18" i="1"/>
  <c r="M20" i="3"/>
  <c r="E25" i="5"/>
  <c r="E26" i="5"/>
  <c r="E29" i="5" s="1"/>
  <c r="E30" i="5" s="1"/>
  <c r="C31" i="1"/>
  <c r="D9" i="1"/>
  <c r="J28" i="3"/>
  <c r="J29" i="1" s="1"/>
  <c r="J29" i="3"/>
  <c r="J30" i="1" s="1"/>
  <c r="L18" i="2"/>
  <c r="L8" i="2" s="1"/>
  <c r="L26" i="2" s="1"/>
  <c r="M17" i="3"/>
  <c r="D30" i="1"/>
  <c r="D19" i="1"/>
  <c r="J31" i="3"/>
  <c r="J31" i="1" s="1"/>
  <c r="H27" i="4"/>
  <c r="D35" i="1"/>
  <c r="C8" i="1"/>
  <c r="H8" i="2"/>
  <c r="H26" i="2" s="1"/>
  <c r="D12" i="1"/>
  <c r="M13" i="3"/>
  <c r="L14" i="1" s="1"/>
  <c r="I14" i="1"/>
  <c r="C29" i="1"/>
  <c r="I27" i="4"/>
  <c r="I31" i="1" s="1"/>
  <c r="H33" i="3"/>
  <c r="H38" i="3"/>
  <c r="H32" i="2"/>
  <c r="K29" i="1"/>
  <c r="C34" i="2"/>
  <c r="C41" i="2"/>
  <c r="L9" i="1"/>
  <c r="E28" i="5"/>
  <c r="D20" i="3"/>
  <c r="D21" i="1" s="1"/>
  <c r="I13" i="1"/>
  <c r="L22" i="1"/>
  <c r="L21" i="1" s="1"/>
  <c r="L13" i="1"/>
  <c r="L33" i="3"/>
  <c r="I12" i="1"/>
  <c r="L18" i="4"/>
  <c r="L17" i="4" s="1"/>
  <c r="L12" i="1"/>
  <c r="I11" i="1"/>
  <c r="I36" i="2"/>
  <c r="I10" i="1"/>
  <c r="K31" i="1"/>
  <c r="K8" i="2"/>
  <c r="D11" i="1"/>
  <c r="L17" i="1"/>
  <c r="I15" i="3"/>
  <c r="D17" i="3"/>
  <c r="D8" i="3" s="1"/>
  <c r="D25" i="3" l="1"/>
  <c r="D8" i="1"/>
  <c r="C28" i="5"/>
  <c r="C29" i="5"/>
  <c r="C30" i="5" s="1"/>
  <c r="I29" i="5"/>
  <c r="I30" i="5" s="1"/>
  <c r="I28" i="5"/>
  <c r="D28" i="5"/>
  <c r="D29" i="5"/>
  <c r="C33" i="1"/>
  <c r="D18" i="1"/>
  <c r="H31" i="1"/>
  <c r="I29" i="4"/>
  <c r="I30" i="4" s="1"/>
  <c r="I32" i="4"/>
  <c r="I41" i="2"/>
  <c r="I34" i="2"/>
  <c r="M15" i="3"/>
  <c r="I16" i="1"/>
  <c r="I15" i="1" s="1"/>
  <c r="I14" i="3"/>
  <c r="I8" i="3" s="1"/>
  <c r="K8" i="1"/>
  <c r="K26" i="2"/>
  <c r="I9" i="1"/>
  <c r="I35" i="1"/>
  <c r="L41" i="2"/>
  <c r="L34" i="2"/>
  <c r="D26" i="1"/>
  <c r="D41" i="2"/>
  <c r="D34" i="2"/>
  <c r="L32" i="4"/>
  <c r="L29" i="4"/>
  <c r="L30" i="4" s="1"/>
  <c r="H26" i="1"/>
  <c r="H40" i="1" s="1"/>
  <c r="H34" i="2"/>
  <c r="H33" i="1" s="1"/>
  <c r="H41" i="2"/>
  <c r="I35" i="2" l="1"/>
  <c r="I25" i="3"/>
  <c r="I8" i="1"/>
  <c r="L16" i="1"/>
  <c r="L15" i="1" s="1"/>
  <c r="L8" i="1" s="1"/>
  <c r="L26" i="1" s="1"/>
  <c r="L40" i="1" s="1"/>
  <c r="M14" i="3"/>
  <c r="M8" i="3" s="1"/>
  <c r="M25" i="3" s="1"/>
  <c r="D35" i="2"/>
  <c r="K26" i="1"/>
  <c r="K40" i="1" s="1"/>
  <c r="K41" i="2"/>
  <c r="K34" i="2"/>
  <c r="K33" i="1" s="1"/>
  <c r="D30" i="5"/>
  <c r="D34" i="5"/>
  <c r="D34" i="1"/>
  <c r="D40" i="1"/>
  <c r="L35" i="2"/>
  <c r="D38" i="3"/>
  <c r="D33" i="3"/>
  <c r="D34" i="3" s="1"/>
  <c r="D31" i="5" l="1"/>
  <c r="D33" i="5" s="1"/>
  <c r="D33" i="1"/>
  <c r="M33" i="3"/>
  <c r="M38" i="3"/>
  <c r="I37" i="2"/>
  <c r="I39" i="2" s="1"/>
  <c r="I38" i="2"/>
  <c r="L38" i="2"/>
  <c r="L37" i="2"/>
  <c r="L39" i="2" s="1"/>
  <c r="D36" i="1"/>
  <c r="D38" i="1" s="1"/>
  <c r="D37" i="1"/>
  <c r="D37" i="2"/>
  <c r="D39" i="2" s="1"/>
  <c r="D38" i="2"/>
  <c r="I38" i="3"/>
  <c r="I33" i="3"/>
  <c r="I26" i="1"/>
  <c r="I40" i="1" s="1"/>
  <c r="I34" i="3" l="1"/>
  <c r="I33" i="1"/>
  <c r="I34" i="1" s="1"/>
  <c r="M34" i="3"/>
  <c r="L33" i="1"/>
  <c r="L34" i="1" s="1"/>
  <c r="D35" i="5"/>
  <c r="L36" i="1" l="1"/>
  <c r="L38" i="1" s="1"/>
  <c r="L37" i="1"/>
  <c r="I36" i="1"/>
  <c r="I38" i="1" s="1"/>
  <c r="I37" i="1"/>
</calcChain>
</file>

<file path=xl/sharedStrings.xml><?xml version="1.0" encoding="utf-8"?>
<sst xmlns="http://schemas.openxmlformats.org/spreadsheetml/2006/main" count="798" uniqueCount="141">
  <si>
    <t>Структура тарифу на теплову енергію</t>
  </si>
  <si>
    <t>№ З/П</t>
  </si>
  <si>
    <t>Найменування показників</t>
  </si>
  <si>
    <t>Для потреб населення</t>
  </si>
  <si>
    <t>Для потреб бюджетних установ</t>
  </si>
  <si>
    <t>Для потреб інших споживачів</t>
  </si>
  <si>
    <t>тис. грн на рік</t>
  </si>
  <si>
    <t>грн/Гкал</t>
  </si>
  <si>
    <t>Виробнича собівартість, у т.ч.:</t>
  </si>
  <si>
    <t xml:space="preserve"> 1.1 </t>
  </si>
  <si>
    <t>прямі матеріальні витрати, у т.ч.:</t>
  </si>
  <si>
    <t xml:space="preserve"> 1.1.1</t>
  </si>
  <si>
    <t>витрати на паливо для виробництва теплової енергії котельними</t>
  </si>
  <si>
    <t xml:space="preserve"> 1.1.2</t>
  </si>
  <si>
    <t>витрати на електроенергію</t>
  </si>
  <si>
    <t xml:space="preserve"> 1.1.3</t>
  </si>
  <si>
    <t>вода для технологічних потреб та водовідведення</t>
  </si>
  <si>
    <t xml:space="preserve"> 1.1.4</t>
  </si>
  <si>
    <t>матеріали, запасні частини та інші матеріальні ресурси</t>
  </si>
  <si>
    <t xml:space="preserve"> 1.2 </t>
  </si>
  <si>
    <t>прямі витрати на оплату праці з відрахуваннями на соціальні заходи</t>
  </si>
  <si>
    <t xml:space="preserve"> 1.3</t>
  </si>
  <si>
    <t>інші прямі витрати, у т.ч.:</t>
  </si>
  <si>
    <t xml:space="preserve"> 1.3.1</t>
  </si>
  <si>
    <t>амортизаційні відрахування</t>
  </si>
  <si>
    <t xml:space="preserve"> 1.3.2</t>
  </si>
  <si>
    <t xml:space="preserve"> 1.4</t>
  </si>
  <si>
    <t>загальновиробничі витрати, у т.ч.:</t>
  </si>
  <si>
    <t xml:space="preserve"> 1.4.1</t>
  </si>
  <si>
    <t>витрати на оплату праці із відрахуваннями на соціальні внески</t>
  </si>
  <si>
    <t xml:space="preserve"> 1.4.2</t>
  </si>
  <si>
    <t>інші прямі витрати</t>
  </si>
  <si>
    <t>Адміністративні витрати, у т.ч:</t>
  </si>
  <si>
    <t xml:space="preserve"> 2.1 </t>
  </si>
  <si>
    <t xml:space="preserve"> 2.2</t>
  </si>
  <si>
    <t>Інші операційні витрати</t>
  </si>
  <si>
    <t>Фінансові витрати</t>
  </si>
  <si>
    <t>Повна собівартість</t>
  </si>
  <si>
    <t>Витрати на покриття втрат</t>
  </si>
  <si>
    <t>Розрахунковий прибуток, у т.ч.:</t>
  </si>
  <si>
    <t xml:space="preserve"> 7.1 </t>
  </si>
  <si>
    <t>податок на прибуток</t>
  </si>
  <si>
    <t xml:space="preserve"> 7.2</t>
  </si>
  <si>
    <t>резервний фонд (капітал) та дивіденти</t>
  </si>
  <si>
    <t xml:space="preserve"> 7.3</t>
  </si>
  <si>
    <t>на розвиток виробництва (виробничі інвестиції)</t>
  </si>
  <si>
    <t xml:space="preserve"> 7.4</t>
  </si>
  <si>
    <t>інше використання прибутку (прибуток у тарифах ТЕЦ, ТЕС, КГУ)</t>
  </si>
  <si>
    <t>Вартість теплової енергії за відповідним тарифом</t>
  </si>
  <si>
    <t>Тариф на теплову енергію, грн/Гкал, у т.ч.:</t>
  </si>
  <si>
    <t xml:space="preserve"> 9.1 </t>
  </si>
  <si>
    <t>Паливна складова</t>
  </si>
  <si>
    <t xml:space="preserve"> 9.2</t>
  </si>
  <si>
    <t>Решта витрат, крім паливної складової</t>
  </si>
  <si>
    <t>Паливна складова , %</t>
  </si>
  <si>
    <t>Решта витрат, крім паливної складової, %</t>
  </si>
  <si>
    <t>Обсяг реалізації теплової енергії власним споживачам, Гкал</t>
  </si>
  <si>
    <t>Рівень рентабельності, %</t>
  </si>
  <si>
    <t>Структура тарифу на виробництво теплової енергії</t>
  </si>
  <si>
    <t>інші витрати</t>
  </si>
  <si>
    <t>дивіденти 10 %</t>
  </si>
  <si>
    <t>резервний фонд (капітал)</t>
  </si>
  <si>
    <t xml:space="preserve"> 7.5</t>
  </si>
  <si>
    <t>інші використання прибутку</t>
  </si>
  <si>
    <t>Вартість виробництва теплової енергії за відповідним тарифом</t>
  </si>
  <si>
    <t>Тариф на виробництво теплову енергію, грн/Гкал, у т.ч.:</t>
  </si>
  <si>
    <t>Структура тарифу на транспортування теплової енергії</t>
  </si>
  <si>
    <t xml:space="preserve">дивіденти </t>
  </si>
  <si>
    <t>Вартість транспортування теплової енергії за відповідним тарифом</t>
  </si>
  <si>
    <t>Тариф на транспортування теплову енергію, грн/Гкал, у т.ч.:</t>
  </si>
  <si>
    <t>Корисний відпуск теплової енергії з мережі, Гкал, у т.ч.:</t>
  </si>
  <si>
    <t xml:space="preserve"> 10.1 </t>
  </si>
  <si>
    <t>теплова енергія інших власників</t>
  </si>
  <si>
    <t xml:space="preserve"> 10.2</t>
  </si>
  <si>
    <t>теплова енергія  власним споживачам</t>
  </si>
  <si>
    <t>Структура тарифу на постачання теплової енергії</t>
  </si>
  <si>
    <t>Вартість постачання теплової енергії за відповідним тарифом</t>
  </si>
  <si>
    <t>Тариф на постачання теплову енергію, грн/Гкал, у т.ч.:</t>
  </si>
  <si>
    <t>№ з/п</t>
  </si>
  <si>
    <t>Назва показника</t>
  </si>
  <si>
    <t xml:space="preserve"> для абонентів житлових будинків з будинковими та квартирними приладами обліку теплової енергії</t>
  </si>
  <si>
    <t xml:space="preserve"> для абонентів житлових будинків без будинкових та квартирних приладів обліку теплової енергії</t>
  </si>
  <si>
    <r>
      <t>грн/м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на рік</t>
    </r>
  </si>
  <si>
    <r>
      <t>грн/м</t>
    </r>
    <r>
      <rPr>
        <vertAlign val="superscript"/>
        <sz val="12"/>
        <color indexed="8"/>
        <rFont val="Times New Roman"/>
        <family val="1"/>
        <charset val="204"/>
      </rPr>
      <t>3</t>
    </r>
  </si>
  <si>
    <t xml:space="preserve">Собівартість власної теплової енергії, врахована у встановлених тарифах на теплову енергію для потреб населення </t>
  </si>
  <si>
    <t>у тому числі паливна складова</t>
  </si>
  <si>
    <t>Витрати на утримання абонентської служби,              усього, у т. ч.:</t>
  </si>
  <si>
    <t xml:space="preserve"> 2.1</t>
  </si>
  <si>
    <t xml:space="preserve"> 2.3</t>
  </si>
  <si>
    <t>інші витрати абонентської служби</t>
  </si>
  <si>
    <t>Витрати на придбання води на послуги з централізованого постачання гарячої води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</si>
  <si>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</si>
  <si>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</si>
  <si>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</si>
  <si>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</si>
  <si>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Розрахунковий прибуток, усього, у т. ч.:</t>
  </si>
  <si>
    <t>чистий прибуток</t>
  </si>
  <si>
    <t>Плановані тарифи на послуги</t>
  </si>
  <si>
    <t>Податок на додану вартість</t>
  </si>
  <si>
    <t>Тарифи на послуги з ПДВ, усього,  у тому числі</t>
  </si>
  <si>
    <t xml:space="preserve"> 12.1</t>
  </si>
  <si>
    <t>паливна складова з ПДВ</t>
  </si>
  <si>
    <t>у тому числі у відсотках від пункту 12</t>
  </si>
  <si>
    <t xml:space="preserve"> 12.2</t>
  </si>
  <si>
    <t>Решта витрат, крім паливної складової, з ПДВ</t>
  </si>
  <si>
    <t>Тариф на послугу з централізованого опалення, грн/м кв. за місяць протягом опалювального періоду з ПДВ, усього,  у тому числі</t>
  </si>
  <si>
    <t>х</t>
  </si>
  <si>
    <t>у тому числі у відсотках від пункту 13</t>
  </si>
  <si>
    <t>Планована тривалість опалювального 
періоду, діб</t>
  </si>
  <si>
    <t>*</t>
  </si>
  <si>
    <t>Х</t>
  </si>
  <si>
    <t xml:space="preserve"> 8.1</t>
  </si>
  <si>
    <t xml:space="preserve"> 8.2</t>
  </si>
  <si>
    <t xml:space="preserve"> 11.1</t>
  </si>
  <si>
    <t xml:space="preserve"> 11.2</t>
  </si>
  <si>
    <t xml:space="preserve">Послуга з постачання гарячої води
</t>
  </si>
  <si>
    <t xml:space="preserve">Послуга з постачання гарячої води для інших споживачів
</t>
  </si>
  <si>
    <t>у тому числі у відсотках від пункту 11</t>
  </si>
  <si>
    <t xml:space="preserve">Послуга з постачання гарячої води для бюджетних установ </t>
  </si>
  <si>
    <t>Без ПДВ</t>
  </si>
  <si>
    <t xml:space="preserve">Перший заступник </t>
  </si>
  <si>
    <t xml:space="preserve">голови обласної ради                                                                          </t>
  </si>
  <si>
    <t>Голбан</t>
  </si>
  <si>
    <t>Обласного комунального виробничого підприємства теплового господарства  "Лубнитеплоенерго"</t>
  </si>
  <si>
    <t>Обласного комунального виробничого підприємства теплового
 господарства "Лубнитеплоенерго"</t>
  </si>
  <si>
    <t>Обласного комунального виробничого підприємства теплового 
господарства "Лубнитеплоенерго"</t>
  </si>
  <si>
    <t>Структура тарифів на послуги постачання гарячої води, що надаються бюджетним установам та іншим споживачам (крім населення) ОКВПТГ  "Лубнитеплоенерго"</t>
  </si>
  <si>
    <t>Послуга з централізованого опалення</t>
  </si>
  <si>
    <t>Структура тарифів на послуги з  централізованого опалення, постачання гарячої води, що надаються населенню  ОКВПТГ  "Лубнитеплоенерго"</t>
  </si>
  <si>
    <t>Директор Департаменту 
будівництва, містобудування і 
архітектури та житлово - комунального 
господарства Полтавської обласної державної адміністрації</t>
  </si>
  <si>
    <t>Додаток 2
до рішення пленарного
засідання двадцять другої 
сесії обласної
ради сьомого скликання 
                    2018 №</t>
  </si>
  <si>
    <t>Додаток 3
до рішення пленарного
засідання двадцять другої 
сесії обласної
ради сьомого скликання 
                    2018 №</t>
  </si>
  <si>
    <t>Т.Т. Голбан</t>
  </si>
  <si>
    <t>Додаток 4
до рішення пленарного
засідання двадцять другої 
сесії обласної
ради сьомого скликання 
                    2018 №</t>
  </si>
  <si>
    <t>Додаток 5
до рішення пленарного
засідання двадцять другої 
сесії обласної
ради сьомого скликання 
                    2018 №</t>
  </si>
  <si>
    <t>Додаток 7
до рішення пленарного
засідання двадцять другої 
сесії обласної
ради сьомого скликання 
                    2018 №</t>
  </si>
  <si>
    <t>Додаток 6
до рішення пленарного
засідання двадцять другої 
сесії обласної
ради сьомого скликання 
                    2018 №</t>
  </si>
  <si>
    <t>Додаток 8
до рішення пленарного
засідання двадцять другої 
сесії обласної
ради сьомого скликання 
                    2018 №</t>
  </si>
  <si>
    <t>Додаток 9
до рішення пленарного
засідання двадцять другої 
сесії обласної
ради сьомого скликання 
                    2018 №</t>
  </si>
  <si>
    <t>Додаток 10
до рішення пленарного
засідання двадцять другої 
сесії обласної
ради сьомого скликання 
                    2018 №</t>
  </si>
  <si>
    <t>Додаток 11
до рішення пленарного
засідання двадцять другої 
сесії обласної
ради сьомого скликання 
                   2018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</si>
</sst>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3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6" fillId="0" borderId="0" xfId="1" applyFont="1"/>
    <xf numFmtId="0" fontId="6" fillId="0" borderId="0" xfId="1" applyFont="1" applyBorder="1"/>
    <xf numFmtId="0" fontId="11" fillId="0" borderId="1" xfId="1" applyFont="1" applyFill="1" applyBorder="1" applyAlignment="1" applyProtection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2" fontId="2" fillId="0" borderId="0" xfId="0" applyNumberFormat="1" applyFont="1" applyFill="1"/>
    <xf numFmtId="2" fontId="6" fillId="0" borderId="1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2" fontId="16" fillId="0" borderId="0" xfId="0" applyNumberFormat="1" applyFont="1" applyFill="1"/>
    <xf numFmtId="2" fontId="6" fillId="0" borderId="5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2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/>
    <xf numFmtId="0" fontId="6" fillId="0" borderId="0" xfId="1" applyFont="1" applyFill="1" applyBorder="1" applyAlignment="1">
      <alignment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11" fillId="0" borderId="4" xfId="1" applyFont="1" applyFill="1" applyBorder="1" applyAlignment="1">
      <alignment horizontal="left" vertical="center" wrapText="1"/>
    </xf>
    <xf numFmtId="2" fontId="6" fillId="0" borderId="6" xfId="1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left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3" fontId="6" fillId="0" borderId="10" xfId="1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14" fillId="0" borderId="0" xfId="0" applyFont="1" applyFill="1" applyAlignment="1">
      <alignment wrapText="1"/>
    </xf>
    <xf numFmtId="0" fontId="8" fillId="0" borderId="0" xfId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2" fontId="7" fillId="0" borderId="2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/>
    <xf numFmtId="0" fontId="1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8" fillId="0" borderId="0" xfId="1" applyFont="1"/>
    <xf numFmtId="0" fontId="8" fillId="0" borderId="0" xfId="1" applyFont="1" applyFill="1"/>
    <xf numFmtId="2" fontId="1" fillId="0" borderId="6" xfId="1" applyNumberFormat="1" applyFont="1" applyFill="1" applyBorder="1" applyAlignment="1">
      <alignment horizontal="center" vertical="center" wrapText="1"/>
    </xf>
    <xf numFmtId="0" fontId="1" fillId="0" borderId="0" xfId="1" applyFont="1" applyFill="1"/>
    <xf numFmtId="0" fontId="1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left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right"/>
    </xf>
    <xf numFmtId="0" fontId="17" fillId="0" borderId="0" xfId="1" applyFont="1" applyFill="1" applyBorder="1" applyAlignment="1">
      <alignment horizontal="center"/>
    </xf>
    <xf numFmtId="3" fontId="6" fillId="0" borderId="19" xfId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wrapText="1"/>
    </xf>
    <xf numFmtId="0" fontId="3" fillId="0" borderId="0" xfId="0" applyFont="1"/>
    <xf numFmtId="0" fontId="8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 wrapText="1"/>
    </xf>
    <xf numFmtId="0" fontId="17" fillId="0" borderId="0" xfId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/>
    </xf>
    <xf numFmtId="0" fontId="14" fillId="0" borderId="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9" fillId="0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Обычный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topLeftCell="A19" zoomScaleNormal="100" workbookViewId="0">
      <selection activeCell="G6" sqref="G6:G7"/>
    </sheetView>
  </sheetViews>
  <sheetFormatPr defaultColWidth="8.85546875" defaultRowHeight="15" x14ac:dyDescent="0.25"/>
  <cols>
    <col min="1" max="1" width="12.140625" style="1" customWidth="1"/>
    <col min="2" max="2" width="54.85546875" style="1" customWidth="1"/>
    <col min="3" max="3" width="24.85546875" style="1" customWidth="1"/>
    <col min="4" max="4" width="22.28515625" style="1" customWidth="1"/>
    <col min="5" max="6" width="8.85546875" style="1"/>
    <col min="7" max="7" width="49.5703125" style="1" customWidth="1"/>
    <col min="8" max="8" width="15.7109375" style="1" customWidth="1"/>
    <col min="9" max="9" width="12.5703125" style="1" customWidth="1"/>
    <col min="10" max="10" width="0" style="1" hidden="1" customWidth="1"/>
    <col min="11" max="11" width="14.7109375" style="1" customWidth="1"/>
    <col min="12" max="12" width="12.85546875" style="1" customWidth="1"/>
    <col min="13" max="13" width="13.7109375" style="1" customWidth="1"/>
    <col min="14" max="14" width="11.85546875" style="1" customWidth="1"/>
    <col min="15" max="15" width="14.28515625" style="1" customWidth="1"/>
    <col min="16" max="16" width="11.140625" style="1" customWidth="1"/>
    <col min="17" max="16384" width="8.85546875" style="1"/>
  </cols>
  <sheetData>
    <row r="1" spans="1:18" ht="119.25" customHeight="1" x14ac:dyDescent="0.3">
      <c r="A1" s="65"/>
      <c r="B1" s="65"/>
      <c r="C1" s="99" t="s">
        <v>130</v>
      </c>
      <c r="D1" s="99"/>
      <c r="E1" s="16"/>
      <c r="F1" s="65"/>
      <c r="G1" s="65"/>
      <c r="H1" s="65"/>
      <c r="I1" s="99" t="s">
        <v>131</v>
      </c>
      <c r="J1" s="99"/>
      <c r="K1" s="99"/>
      <c r="L1" s="99"/>
      <c r="M1" s="16"/>
      <c r="N1" s="16"/>
      <c r="O1" s="16"/>
      <c r="P1" s="16"/>
      <c r="Q1" s="16"/>
      <c r="R1" s="16"/>
    </row>
    <row r="2" spans="1:18" ht="18" customHeight="1" x14ac:dyDescent="0.3">
      <c r="A2" s="65"/>
      <c r="B2" s="65"/>
      <c r="C2" s="66"/>
      <c r="D2" s="66"/>
      <c r="E2" s="16"/>
      <c r="F2" s="65"/>
      <c r="G2" s="65"/>
      <c r="H2" s="65"/>
      <c r="I2" s="66"/>
      <c r="J2" s="66"/>
      <c r="K2" s="66"/>
      <c r="L2" s="66"/>
      <c r="M2" s="16"/>
      <c r="N2" s="16"/>
      <c r="O2" s="16"/>
      <c r="P2" s="16"/>
      <c r="Q2" s="16"/>
      <c r="R2" s="16"/>
    </row>
    <row r="3" spans="1:18" ht="18.75" x14ac:dyDescent="0.3">
      <c r="A3" s="100" t="s">
        <v>0</v>
      </c>
      <c r="B3" s="100"/>
      <c r="C3" s="100"/>
      <c r="D3" s="100"/>
      <c r="E3" s="16"/>
      <c r="F3" s="100" t="s">
        <v>0</v>
      </c>
      <c r="G3" s="100"/>
      <c r="H3" s="100"/>
      <c r="I3" s="100"/>
      <c r="J3" s="100"/>
      <c r="K3" s="100"/>
      <c r="L3" s="100"/>
      <c r="M3" s="16"/>
      <c r="N3" s="16"/>
      <c r="O3" s="16"/>
      <c r="P3" s="16"/>
      <c r="Q3" s="16"/>
      <c r="R3" s="16"/>
    </row>
    <row r="4" spans="1:18" ht="54" customHeight="1" x14ac:dyDescent="0.3">
      <c r="A4" s="106" t="s">
        <v>123</v>
      </c>
      <c r="B4" s="106"/>
      <c r="C4" s="106"/>
      <c r="D4" s="106"/>
      <c r="E4" s="16"/>
      <c r="F4" s="106" t="s">
        <v>124</v>
      </c>
      <c r="G4" s="100"/>
      <c r="H4" s="100"/>
      <c r="I4" s="100"/>
      <c r="J4" s="100"/>
      <c r="K4" s="100"/>
      <c r="L4" s="100"/>
      <c r="M4" s="16"/>
      <c r="N4" s="16"/>
      <c r="O4" s="16"/>
      <c r="P4" s="16"/>
      <c r="Q4" s="16"/>
      <c r="R4" s="16"/>
    </row>
    <row r="5" spans="1:18" x14ac:dyDescent="0.25">
      <c r="A5" s="16"/>
      <c r="B5" s="16"/>
      <c r="C5" s="16"/>
      <c r="D5" s="16" t="s">
        <v>119</v>
      </c>
      <c r="E5" s="16"/>
      <c r="F5" s="16"/>
      <c r="G5" s="16"/>
      <c r="H5" s="16"/>
      <c r="I5" s="16"/>
      <c r="J5" s="16"/>
      <c r="K5" s="16"/>
      <c r="L5" s="16" t="s">
        <v>119</v>
      </c>
      <c r="M5" s="16"/>
      <c r="N5" s="16"/>
      <c r="O5" s="16"/>
      <c r="P5" s="16"/>
      <c r="Q5" s="16"/>
      <c r="R5" s="16"/>
    </row>
    <row r="6" spans="1:18" ht="33.75" customHeight="1" x14ac:dyDescent="0.25">
      <c r="A6" s="101" t="s">
        <v>1</v>
      </c>
      <c r="B6" s="101" t="s">
        <v>2</v>
      </c>
      <c r="C6" s="108" t="s">
        <v>3</v>
      </c>
      <c r="D6" s="109"/>
      <c r="E6" s="16"/>
      <c r="F6" s="101" t="s">
        <v>1</v>
      </c>
      <c r="G6" s="101" t="s">
        <v>2</v>
      </c>
      <c r="H6" s="102" t="s">
        <v>4</v>
      </c>
      <c r="I6" s="103"/>
      <c r="J6" s="104" t="s">
        <v>1</v>
      </c>
      <c r="K6" s="102" t="s">
        <v>5</v>
      </c>
      <c r="L6" s="103"/>
      <c r="M6" s="16"/>
      <c r="N6" s="16"/>
      <c r="O6" s="16"/>
      <c r="P6" s="16"/>
      <c r="Q6" s="16"/>
      <c r="R6" s="16"/>
    </row>
    <row r="7" spans="1:18" x14ac:dyDescent="0.25">
      <c r="A7" s="101"/>
      <c r="B7" s="101"/>
      <c r="C7" s="9" t="s">
        <v>6</v>
      </c>
      <c r="D7" s="9" t="s">
        <v>7</v>
      </c>
      <c r="E7" s="16"/>
      <c r="F7" s="101"/>
      <c r="G7" s="101"/>
      <c r="H7" s="19" t="s">
        <v>6</v>
      </c>
      <c r="I7" s="19" t="s">
        <v>7</v>
      </c>
      <c r="J7" s="104"/>
      <c r="K7" s="19" t="s">
        <v>6</v>
      </c>
      <c r="L7" s="19" t="s">
        <v>7</v>
      </c>
      <c r="M7" s="16"/>
      <c r="N7" s="16"/>
      <c r="O7" s="29"/>
      <c r="P7" s="30"/>
      <c r="Q7" s="30"/>
      <c r="R7" s="30"/>
    </row>
    <row r="8" spans="1:18" x14ac:dyDescent="0.25">
      <c r="A8" s="12">
        <v>1</v>
      </c>
      <c r="B8" s="15" t="s">
        <v>8</v>
      </c>
      <c r="C8" s="8">
        <f>'4-5 ВИРОБ'!C8+'6-7 ТРАНС'!C8+'8-9 ПОСТ'!C8</f>
        <v>96752.09</v>
      </c>
      <c r="D8" s="8">
        <f>'4-5 ВИРОБ'!D8+'6-7 ТРАНС'!D8+'8-9 ПОСТ'!D8</f>
        <v>1380.1622122744909</v>
      </c>
      <c r="E8" s="16"/>
      <c r="F8" s="12">
        <v>1</v>
      </c>
      <c r="G8" s="15" t="s">
        <v>8</v>
      </c>
      <c r="H8" s="8">
        <f>H9+H14+H15+H18</f>
        <v>29987.13</v>
      </c>
      <c r="I8" s="8">
        <f>'4-5 ВИРОБ'!I8+'6-7 ТРАНС'!I8+'8-9 ПОСТ'!I8</f>
        <v>1844.3438734575541</v>
      </c>
      <c r="J8" s="12">
        <v>1</v>
      </c>
      <c r="K8" s="8">
        <f>'4-5 ВИРОБ'!K8+'6-7 ТРАНС'!L8+'8-9 ПОСТ'!K8</f>
        <v>8834.0300000000007</v>
      </c>
      <c r="L8" s="8">
        <f>L9+L14+L15+L18</f>
        <v>1844.3438561482546</v>
      </c>
      <c r="M8" s="21"/>
      <c r="N8" s="21"/>
      <c r="O8" s="26"/>
      <c r="P8" s="26"/>
      <c r="Q8" s="26"/>
      <c r="R8" s="26"/>
    </row>
    <row r="9" spans="1:18" x14ac:dyDescent="0.25">
      <c r="A9" s="24" t="s">
        <v>9</v>
      </c>
      <c r="B9" s="25" t="s">
        <v>10</v>
      </c>
      <c r="C9" s="10">
        <f>C10+C11+C12+C13</f>
        <v>70511.28</v>
      </c>
      <c r="D9" s="10">
        <f>D10+D11+D12+D13</f>
        <v>1005.8387802796411</v>
      </c>
      <c r="E9" s="21"/>
      <c r="F9" s="24" t="s">
        <v>9</v>
      </c>
      <c r="G9" s="25" t="s">
        <v>10</v>
      </c>
      <c r="H9" s="10">
        <f>H10+H11+H12+H13</f>
        <v>23901.02</v>
      </c>
      <c r="I9" s="10">
        <f>I10+I11+I12+I13</f>
        <v>1470.0205369196728</v>
      </c>
      <c r="J9" s="24" t="s">
        <v>9</v>
      </c>
      <c r="K9" s="10">
        <f>'4-5 ВИРОБ'!K9+'6-7 ТРАНС'!L9+'8-9 ПОСТ'!K9</f>
        <v>7041.1100000000006</v>
      </c>
      <c r="L9" s="10">
        <f>'4-5 ВИРОБ'!L9+'6-7 ТРАНС'!M9+'8-9 ПОСТ'!L9</f>
        <v>1470.0204826111046</v>
      </c>
      <c r="M9" s="21"/>
      <c r="N9" s="21"/>
      <c r="O9" s="26"/>
      <c r="P9" s="26"/>
      <c r="Q9" s="26"/>
      <c r="R9" s="26"/>
    </row>
    <row r="10" spans="1:18" ht="30" x14ac:dyDescent="0.25">
      <c r="A10" s="24" t="s">
        <v>11</v>
      </c>
      <c r="B10" s="25" t="s">
        <v>12</v>
      </c>
      <c r="C10" s="10">
        <f>'4-5 ВИРОБ'!C10</f>
        <v>62274.11</v>
      </c>
      <c r="D10" s="10">
        <f>'4-5 ВИРОБ'!D10</f>
        <v>888.33609098289242</v>
      </c>
      <c r="E10" s="16"/>
      <c r="F10" s="24" t="s">
        <v>11</v>
      </c>
      <c r="G10" s="25" t="s">
        <v>12</v>
      </c>
      <c r="H10" s="10">
        <f>'4-5 ВИРОБ'!H10</f>
        <v>21990.55</v>
      </c>
      <c r="I10" s="10">
        <f>'4-5 ВИРОБ'!I10</f>
        <v>1352.5180254345755</v>
      </c>
      <c r="J10" s="24" t="s">
        <v>11</v>
      </c>
      <c r="K10" s="10">
        <f>'4-5 ВИРОБ'!K10</f>
        <v>6478.29</v>
      </c>
      <c r="L10" s="10">
        <f>'4-5 ВИРОБ'!L10</f>
        <v>1352.5178504321682</v>
      </c>
      <c r="M10" s="21"/>
      <c r="N10" s="21"/>
      <c r="O10" s="26"/>
      <c r="P10" s="26"/>
      <c r="Q10" s="26"/>
      <c r="R10" s="26"/>
    </row>
    <row r="11" spans="1:18" x14ac:dyDescent="0.25">
      <c r="A11" s="24" t="s">
        <v>13</v>
      </c>
      <c r="B11" s="25" t="s">
        <v>14</v>
      </c>
      <c r="C11" s="10">
        <f>'4-5 ВИРОБ'!C11+'6-7 ТРАНС'!C10</f>
        <v>4686.6400000000003</v>
      </c>
      <c r="D11" s="10">
        <f>'4-5 ВИРОБ'!D11+'6-7 ТРАНС'!D10</f>
        <v>66.85461193173316</v>
      </c>
      <c r="E11" s="16"/>
      <c r="F11" s="24" t="s">
        <v>13</v>
      </c>
      <c r="G11" s="25" t="s">
        <v>14</v>
      </c>
      <c r="H11" s="10">
        <f>'4-5 ВИРОБ'!H11+'6-7 ТРАНС'!H10</f>
        <v>1086.99</v>
      </c>
      <c r="I11" s="10">
        <f>'4-5 ВИРОБ'!I11+'6-7 ТРАНС'!I10</f>
        <v>66.854604812588661</v>
      </c>
      <c r="J11" s="24" t="s">
        <v>13</v>
      </c>
      <c r="K11" s="10">
        <f>'4-5 ВИРОБ'!K11+'6-7 ТРАНС'!L10</f>
        <v>320.22000000000003</v>
      </c>
      <c r="L11" s="10">
        <f>'4-5 ВИРОБ'!L11+'6-7 ТРАНС'!M10</f>
        <v>66.853745006541089</v>
      </c>
      <c r="M11" s="21"/>
      <c r="N11" s="21"/>
      <c r="O11" s="26"/>
      <c r="P11" s="26"/>
      <c r="Q11" s="26"/>
      <c r="R11" s="26"/>
    </row>
    <row r="12" spans="1:18" x14ac:dyDescent="0.25">
      <c r="A12" s="24" t="s">
        <v>15</v>
      </c>
      <c r="B12" s="25" t="s">
        <v>16</v>
      </c>
      <c r="C12" s="10">
        <f>'4-5 ВИРОБ'!C12+'6-7 ТРАНС'!C11</f>
        <v>304.44</v>
      </c>
      <c r="D12" s="10">
        <f>'4-5 ВИРОБ'!D12+'6-7 ТРАНС'!D11</f>
        <v>4.3428166141408004</v>
      </c>
      <c r="E12" s="16"/>
      <c r="F12" s="24" t="s">
        <v>15</v>
      </c>
      <c r="G12" s="25" t="s">
        <v>16</v>
      </c>
      <c r="H12" s="10">
        <f>'4-5 ВИРОБ'!H12+'6-7 ТРАНС'!H11</f>
        <v>70.61</v>
      </c>
      <c r="I12" s="10">
        <f>'4-5 ВИРОБ'!I12+'6-7 ТРАНС'!I11</f>
        <v>4.3428230750914674</v>
      </c>
      <c r="J12" s="24" t="s">
        <v>15</v>
      </c>
      <c r="K12" s="10">
        <f>'4-5 ВИРОБ'!K12+'6-7 ТРАНС'!L11</f>
        <v>20.8</v>
      </c>
      <c r="L12" s="10">
        <f>'4-5 ВИРОБ'!L12+'6-7 ТРАНС'!M11</f>
        <v>4.3425107590930816</v>
      </c>
      <c r="M12" s="21"/>
      <c r="N12" s="21"/>
      <c r="O12" s="26"/>
      <c r="P12" s="26"/>
      <c r="Q12" s="26"/>
      <c r="R12" s="26"/>
    </row>
    <row r="13" spans="1:18" ht="30" x14ac:dyDescent="0.25">
      <c r="A13" s="24" t="s">
        <v>17</v>
      </c>
      <c r="B13" s="25" t="s">
        <v>18</v>
      </c>
      <c r="C13" s="10">
        <f>'4-5 ВИРОБ'!C13+'6-7 ТРАНС'!C12+'8-9 ПОСТ'!C9</f>
        <v>3246.0899999999997</v>
      </c>
      <c r="D13" s="10">
        <f>'4-5 ВИРОБ'!D13+'6-7 ТРАНС'!D12+'8-9 ПОСТ'!D9</f>
        <v>46.305260750874758</v>
      </c>
      <c r="E13" s="16"/>
      <c r="F13" s="24" t="s">
        <v>17</v>
      </c>
      <c r="G13" s="25" t="s">
        <v>18</v>
      </c>
      <c r="H13" s="10">
        <f>'4-5 ВИРОБ'!H13+'6-7 ТРАНС'!H12+'8-9 ПОСТ'!H9</f>
        <v>752.87</v>
      </c>
      <c r="I13" s="10">
        <f>'4-5 ВИРОБ'!I13+'6-7 ТРАНС'!I12+'8-9 ПОСТ'!I9</f>
        <v>46.305083597417344</v>
      </c>
      <c r="J13" s="10" t="e">
        <f>'4-5 ВИРОБ'!J13+'6-7 ТРАНС'!J12+'8-9 ПОСТ'!J9</f>
        <v>#VALUE!</v>
      </c>
      <c r="K13" s="10">
        <f>'4-5 ВИРОБ'!K13+'6-7 ТРАНС'!L12+'8-9 ПОСТ'!K9</f>
        <v>221.8</v>
      </c>
      <c r="L13" s="10">
        <f>'4-5 ВИРОБ'!L13+'6-7 ТРАНС'!M12+'8-9 ПОСТ'!L9</f>
        <v>46.306376413302431</v>
      </c>
      <c r="M13" s="21"/>
      <c r="N13" s="21"/>
      <c r="O13" s="26"/>
      <c r="P13" s="26"/>
      <c r="Q13" s="26"/>
      <c r="R13" s="26"/>
    </row>
    <row r="14" spans="1:18" ht="30" x14ac:dyDescent="0.25">
      <c r="A14" s="24" t="s">
        <v>19</v>
      </c>
      <c r="B14" s="25" t="s">
        <v>20</v>
      </c>
      <c r="C14" s="10">
        <f>'4-5 ВИРОБ'!C14+'6-7 ТРАНС'!C13+'8-9 ПОСТ'!C10</f>
        <v>10534.269999999999</v>
      </c>
      <c r="D14" s="10">
        <f>'4-5 ВИРОБ'!D14+'6-7 ТРАНС'!D13+'8-9 ПОСТ'!D10</f>
        <v>150.27066999686315</v>
      </c>
      <c r="E14" s="16"/>
      <c r="F14" s="24" t="s">
        <v>19</v>
      </c>
      <c r="G14" s="25" t="s">
        <v>20</v>
      </c>
      <c r="H14" s="10">
        <f>'4-5 ВИРОБ'!H14+'6-7 ТРАНС'!H13+'8-9 ПОСТ'!H10</f>
        <v>2443.2399999999998</v>
      </c>
      <c r="I14" s="10">
        <f>'4-5 ВИРОБ'!I14+'6-7 ТРАНС'!I13+'8-9 ПОСТ'!I10</f>
        <v>150.2702541253997</v>
      </c>
      <c r="J14" s="24" t="s">
        <v>19</v>
      </c>
      <c r="K14" s="10">
        <f>'4-5 ВИРОБ'!K14+'6-7 ТРАНС'!L13+'8-9 ПОСТ'!K10</f>
        <v>719.7600000000001</v>
      </c>
      <c r="L14" s="10">
        <f>'4-5 ВИРОБ'!L14+'6-7 ТРАНС'!M13+'8-9 ПОСТ'!L10</f>
        <v>150.26988015080153</v>
      </c>
      <c r="M14" s="21"/>
      <c r="N14" s="21"/>
      <c r="O14" s="26"/>
      <c r="P14" s="26"/>
      <c r="Q14" s="26"/>
      <c r="R14" s="26"/>
    </row>
    <row r="15" spans="1:18" x14ac:dyDescent="0.25">
      <c r="A15" s="24" t="s">
        <v>21</v>
      </c>
      <c r="B15" s="25" t="s">
        <v>22</v>
      </c>
      <c r="C15" s="10">
        <f>'4-5 ВИРОБ'!C15+'6-7 ТРАНС'!C14+'8-9 ПОСТ'!C11</f>
        <v>3556.1600000000003</v>
      </c>
      <c r="D15" s="10">
        <f>'4-5 ВИРОБ'!D15+'6-7 ТРАНС'!D14+'8-9 ПОСТ'!D11</f>
        <v>50.728388945417649</v>
      </c>
      <c r="E15" s="16"/>
      <c r="F15" s="24" t="s">
        <v>21</v>
      </c>
      <c r="G15" s="25" t="s">
        <v>22</v>
      </c>
      <c r="H15" s="10">
        <f>H16+H17</f>
        <v>824.80000000000007</v>
      </c>
      <c r="I15" s="10">
        <f>I16+I17</f>
        <v>50.728823469859172</v>
      </c>
      <c r="J15" s="24" t="s">
        <v>21</v>
      </c>
      <c r="K15" s="10">
        <f>'4-5 ВИРОБ'!K15+'6-7 ТРАНС'!L14+'8-9 ПОСТ'!K11</f>
        <v>242.98</v>
      </c>
      <c r="L15" s="10">
        <f>L16+L17</f>
        <v>50.730870214866819</v>
      </c>
      <c r="M15" s="21"/>
      <c r="N15" s="21"/>
      <c r="O15" s="26"/>
      <c r="P15" s="26"/>
      <c r="Q15" s="26"/>
      <c r="R15" s="26"/>
    </row>
    <row r="16" spans="1:18" x14ac:dyDescent="0.25">
      <c r="A16" s="24" t="s">
        <v>23</v>
      </c>
      <c r="B16" s="25" t="s">
        <v>24</v>
      </c>
      <c r="C16" s="10">
        <f>'4-5 ВИРОБ'!C16+'6-7 ТРАНС'!C15+'8-9 ПОСТ'!C12</f>
        <v>1640.38</v>
      </c>
      <c r="D16" s="10">
        <f>'4-5 ВИРОБ'!D16+'6-7 ТРАНС'!D15+'8-9 ПОСТ'!D12</f>
        <v>23.399913012430321</v>
      </c>
      <c r="E16" s="16"/>
      <c r="F16" s="24" t="s">
        <v>23</v>
      </c>
      <c r="G16" s="25" t="s">
        <v>24</v>
      </c>
      <c r="H16" s="10">
        <f>'4-5 ВИРОБ'!H16+'6-7 ТРАНС'!H15+'8-9 ПОСТ'!H12+0.01</f>
        <v>380.47</v>
      </c>
      <c r="I16" s="10">
        <f>'4-5 ВИРОБ'!I16+'6-7 ТРАНС'!I15+'8-9 ПОСТ'!I12</f>
        <v>23.399769015377466</v>
      </c>
      <c r="J16" s="24" t="s">
        <v>23</v>
      </c>
      <c r="K16" s="10">
        <f>'4-5 ВИРОБ'!K16+'6-7 ТРАНС'!L15+'8-9 ПОСТ'!K12</f>
        <v>112.07</v>
      </c>
      <c r="L16" s="10">
        <f>'4-5 ВИРОБ'!L16+'6-7 ТРАНС'!M15+'8-9 ПОСТ'!L12</f>
        <v>23.39897252951965</v>
      </c>
      <c r="M16" s="21"/>
      <c r="N16" s="21"/>
      <c r="O16" s="26"/>
      <c r="P16" s="26"/>
      <c r="Q16" s="26"/>
      <c r="R16" s="26"/>
    </row>
    <row r="17" spans="1:18" x14ac:dyDescent="0.25">
      <c r="A17" s="24" t="s">
        <v>25</v>
      </c>
      <c r="B17" s="25" t="s">
        <v>31</v>
      </c>
      <c r="C17" s="10">
        <f>'4-5 ВИРОБ'!C17+'6-7 ТРАНС'!C16+'8-9 ПОСТ'!C13</f>
        <v>1915.78</v>
      </c>
      <c r="D17" s="10">
        <f>'4-5 ВИРОБ'!D17+'6-7 ТРАНС'!D16+'8-9 ПОСТ'!D13</f>
        <v>27.328475932987331</v>
      </c>
      <c r="E17" s="16"/>
      <c r="F17" s="24" t="s">
        <v>25</v>
      </c>
      <c r="G17" s="25" t="s">
        <v>31</v>
      </c>
      <c r="H17" s="10">
        <f>'4-5 ВИРОБ'!H17+'6-7 ТРАНС'!H16+'8-9 ПОСТ'!H13</f>
        <v>444.33000000000004</v>
      </c>
      <c r="I17" s="10">
        <f>'4-5 ВИРОБ'!I17+'6-7 ТРАНС'!I16+'8-9 ПОСТ'!I13</f>
        <v>27.329054454481707</v>
      </c>
      <c r="J17" s="24" t="s">
        <v>25</v>
      </c>
      <c r="K17" s="10">
        <f>'4-5 ВИРОБ'!K17+'6-7 ТРАНС'!L16+'8-9 ПОСТ'!K13</f>
        <v>130.91</v>
      </c>
      <c r="L17" s="10">
        <f>'4-5 ВИРОБ'!L17+'6-7 ТРАНС'!M16+'8-9 ПОСТ'!L13</f>
        <v>27.331897685347169</v>
      </c>
      <c r="M17" s="21"/>
      <c r="N17" s="21"/>
      <c r="O17" s="26"/>
      <c r="P17" s="26"/>
      <c r="Q17" s="26"/>
      <c r="R17" s="26"/>
    </row>
    <row r="18" spans="1:18" x14ac:dyDescent="0.25">
      <c r="A18" s="24" t="s">
        <v>26</v>
      </c>
      <c r="B18" s="25" t="s">
        <v>27</v>
      </c>
      <c r="C18" s="10">
        <f>'4-5 ВИРОБ'!C18+'6-7 ТРАНС'!C17+'8-9 ПОСТ'!C14</f>
        <v>12150.380000000001</v>
      </c>
      <c r="D18" s="10">
        <f>'4-5 ВИРОБ'!D18+'6-7 ТРАНС'!D17+'8-9 ПОСТ'!D14</f>
        <v>173.32437305256894</v>
      </c>
      <c r="E18" s="16"/>
      <c r="F18" s="24" t="s">
        <v>26</v>
      </c>
      <c r="G18" s="25" t="s">
        <v>27</v>
      </c>
      <c r="H18" s="10">
        <f>H19+H20</f>
        <v>2818.0699999999997</v>
      </c>
      <c r="I18" s="10">
        <f>I19+I20</f>
        <v>173.32425894262224</v>
      </c>
      <c r="J18" s="24" t="s">
        <v>26</v>
      </c>
      <c r="K18" s="10">
        <f>'4-5 ВИРОБ'!K18+'6-7 ТРАНС'!L17+'8-9 ПОСТ'!K14</f>
        <v>830.18</v>
      </c>
      <c r="L18" s="10">
        <f>L19+L20</f>
        <v>173.32262317148167</v>
      </c>
      <c r="M18" s="21"/>
      <c r="N18" s="21"/>
      <c r="O18" s="26"/>
      <c r="P18" s="26"/>
      <c r="Q18" s="26"/>
      <c r="R18" s="26"/>
    </row>
    <row r="19" spans="1:18" ht="30" x14ac:dyDescent="0.25">
      <c r="A19" s="24" t="s">
        <v>28</v>
      </c>
      <c r="B19" s="31" t="s">
        <v>29</v>
      </c>
      <c r="C19" s="10">
        <f>'4-5 ВИРОБ'!C19+'6-7 ТРАНС'!C18+'8-9 ПОСТ'!C15</f>
        <v>10775.699999999999</v>
      </c>
      <c r="D19" s="10">
        <f>'4-5 ВИРОБ'!D19+'6-7 ТРАНС'!D18+'8-9 ПОСТ'!D15</f>
        <v>153.71465309748069</v>
      </c>
      <c r="E19" s="16"/>
      <c r="F19" s="24" t="s">
        <v>28</v>
      </c>
      <c r="G19" s="31" t="s">
        <v>29</v>
      </c>
      <c r="H19" s="10">
        <f>'4-5 ВИРОБ'!H19+'6-7 ТРАНС'!H18+'8-9 ПОСТ'!H15</f>
        <v>2499.2399999999998</v>
      </c>
      <c r="I19" s="10">
        <f>'4-5 ВИРОБ'!I19+'6-7 ТРАНС'!I18+'8-9 ПОСТ'!I15</f>
        <v>153.71480061686194</v>
      </c>
      <c r="J19" s="24" t="s">
        <v>28</v>
      </c>
      <c r="K19" s="10">
        <f>'4-5 ВИРОБ'!K19+'6-7 ТРАНС'!L18+'8-9 ПОСТ'!K15</f>
        <v>736.26</v>
      </c>
      <c r="L19" s="10">
        <f>'4-5 ВИРОБ'!L19+'6-7 ТРАНС'!M18+'8-9 ПОСТ'!L15</f>
        <v>153.71391994335002</v>
      </c>
      <c r="M19" s="21"/>
      <c r="N19" s="21"/>
      <c r="O19" s="26"/>
      <c r="P19" s="26"/>
      <c r="Q19" s="26"/>
      <c r="R19" s="26"/>
    </row>
    <row r="20" spans="1:18" x14ac:dyDescent="0.25">
      <c r="A20" s="24" t="s">
        <v>30</v>
      </c>
      <c r="B20" s="25" t="s">
        <v>31</v>
      </c>
      <c r="C20" s="10">
        <f>'4-5 ВИРОБ'!C20+'6-7 ТРАНС'!C19+'8-9 ПОСТ'!C16</f>
        <v>1374.68</v>
      </c>
      <c r="D20" s="10">
        <f>'4-5 ВИРОБ'!D20+'6-7 ТРАНС'!D19+'8-9 ПОСТ'!D16</f>
        <v>19.609719955088281</v>
      </c>
      <c r="E20" s="16"/>
      <c r="F20" s="24" t="s">
        <v>30</v>
      </c>
      <c r="G20" s="25" t="s">
        <v>31</v>
      </c>
      <c r="H20" s="10">
        <f>'4-5 ВИРОБ'!H20+'6-7 ТРАНС'!H19+'8-9 ПОСТ'!H16-0.01</f>
        <v>318.83</v>
      </c>
      <c r="I20" s="10">
        <f>'4-5 ВИРОБ'!I20+'6-7 ТРАНС'!I19+'8-9 ПОСТ'!I16</f>
        <v>19.609458325760304</v>
      </c>
      <c r="J20" s="24" t="s">
        <v>30</v>
      </c>
      <c r="K20" s="10">
        <f>'4-5 ВИРОБ'!K20+'6-7 ТРАНС'!L19+'8-9 ПОСТ'!K16</f>
        <v>93.92</v>
      </c>
      <c r="L20" s="10">
        <f>'4-5 ВИРОБ'!L20+'6-7 ТРАНС'!M19+'8-9 ПОСТ'!L16</f>
        <v>19.608703228131645</v>
      </c>
      <c r="M20" s="21"/>
      <c r="N20" s="21"/>
      <c r="O20" s="26"/>
      <c r="P20" s="26"/>
      <c r="Q20" s="26"/>
      <c r="R20" s="26"/>
    </row>
    <row r="21" spans="1:18" x14ac:dyDescent="0.25">
      <c r="A21" s="9">
        <v>2</v>
      </c>
      <c r="B21" s="25" t="s">
        <v>32</v>
      </c>
      <c r="C21" s="10">
        <f>'4-5 ВИРОБ'!C21+'6-7 ТРАНС'!C20+'8-9 ПОСТ'!C17</f>
        <v>3679.8399999999997</v>
      </c>
      <c r="D21" s="10">
        <f>'4-5 ВИРОБ'!D21+'6-7 ТРАНС'!D20+'8-9 ПОСТ'!D17</f>
        <v>52.492676026080296</v>
      </c>
      <c r="E21" s="16"/>
      <c r="F21" s="9">
        <v>2</v>
      </c>
      <c r="G21" s="25" t="s">
        <v>32</v>
      </c>
      <c r="H21" s="10">
        <f>H22+H23</f>
        <v>853.47</v>
      </c>
      <c r="I21" s="10">
        <f>I22+I23</f>
        <v>52.493023110936562</v>
      </c>
      <c r="J21" s="9">
        <v>2</v>
      </c>
      <c r="K21" s="10">
        <f>'4-5 ВИРОБ'!K21+'6-7 ТРАНС'!L20+'8-9 ПОСТ'!K17</f>
        <v>251.43</v>
      </c>
      <c r="L21" s="10">
        <f>L22+L23</f>
        <v>52.492873647450047</v>
      </c>
      <c r="M21" s="21"/>
      <c r="N21" s="21"/>
      <c r="O21" s="26"/>
      <c r="P21" s="26"/>
      <c r="Q21" s="26"/>
      <c r="R21" s="26"/>
    </row>
    <row r="22" spans="1:18" ht="30" x14ac:dyDescent="0.25">
      <c r="A22" s="24" t="s">
        <v>33</v>
      </c>
      <c r="B22" s="31" t="s">
        <v>29</v>
      </c>
      <c r="C22" s="10">
        <f>'4-5 ВИРОБ'!C22+'6-7 ТРАНС'!C21+'8-9 ПОСТ'!C18</f>
        <v>3123.1200000000003</v>
      </c>
      <c r="D22" s="10">
        <f>'4-5 ВИРОБ'!D22+'6-7 ТРАНС'!D21+'8-9 ПОСТ'!D18</f>
        <v>44.551101773602085</v>
      </c>
      <c r="E22" s="16"/>
      <c r="F22" s="86" t="s">
        <v>33</v>
      </c>
      <c r="G22" s="31" t="s">
        <v>29</v>
      </c>
      <c r="H22" s="10">
        <f>'4-5 ВИРОБ'!H22+'6-7 ТРАНС'!H21+'8-9 ПОСТ'!H18</f>
        <v>724.35</v>
      </c>
      <c r="I22" s="10">
        <f>'4-5 ВИРОБ'!I22+'6-7 ТРАНС'!I21+'8-9 ПОСТ'!I18</f>
        <v>44.551000631179313</v>
      </c>
      <c r="J22" s="24" t="s">
        <v>33</v>
      </c>
      <c r="K22" s="10">
        <f>'4-5 ВИРОБ'!K22+'6-7 ТРАНС'!L21+'8-9 ПОСТ'!K18</f>
        <v>213.39999999999998</v>
      </c>
      <c r="L22" s="10">
        <f>'4-5 ВИРОБ'!L22+'6-7 ТРАНС'!M21+'8-9 ПОСТ'!L18</f>
        <v>44.551842645116452</v>
      </c>
      <c r="M22" s="21"/>
      <c r="N22" s="21"/>
      <c r="O22" s="26"/>
      <c r="P22" s="26"/>
      <c r="Q22" s="26"/>
      <c r="R22" s="26"/>
    </row>
    <row r="23" spans="1:18" x14ac:dyDescent="0.25">
      <c r="A23" s="24" t="s">
        <v>34</v>
      </c>
      <c r="B23" s="25" t="s">
        <v>31</v>
      </c>
      <c r="C23" s="10">
        <f>'4-5 ВИРОБ'!C23+'6-7 ТРАНС'!C22+'8-9 ПОСТ'!C19</f>
        <v>556.71999999999991</v>
      </c>
      <c r="D23" s="10">
        <f>'4-5 ВИРОБ'!D23+'6-7 ТРАНС'!D22+'8-9 ПОСТ'!D19</f>
        <v>7.9415742524782109</v>
      </c>
      <c r="E23" s="16"/>
      <c r="F23" s="86" t="s">
        <v>34</v>
      </c>
      <c r="G23" s="25" t="s">
        <v>31</v>
      </c>
      <c r="H23" s="10">
        <f>'4-5 ВИРОБ'!H23+'6-7 ТРАНС'!H22+'8-9 ПОСТ'!H19</f>
        <v>129.12</v>
      </c>
      <c r="I23" s="10">
        <f>'4-5 ВИРОБ'!I23+'6-7 ТРАНС'!I22+'8-9 ПОСТ'!I19</f>
        <v>7.9420224797572514</v>
      </c>
      <c r="J23" s="24" t="s">
        <v>34</v>
      </c>
      <c r="K23" s="10">
        <f>'4-5 ВИРОБ'!K23+'6-7 ТРАНС'!L22+'8-9 ПОСТ'!K19</f>
        <v>38.029999999999994</v>
      </c>
      <c r="L23" s="10">
        <f>'4-5 ВИРОБ'!L23+'6-7 ТРАНС'!M22+'8-9 ПОСТ'!L19</f>
        <v>7.9410310023335926</v>
      </c>
      <c r="M23" s="21"/>
      <c r="N23" s="21"/>
      <c r="O23" s="26"/>
      <c r="P23" s="26"/>
      <c r="Q23" s="26"/>
      <c r="R23" s="26"/>
    </row>
    <row r="24" spans="1:18" x14ac:dyDescent="0.25">
      <c r="A24" s="9">
        <v>3</v>
      </c>
      <c r="B24" s="25" t="s">
        <v>35</v>
      </c>
      <c r="C24" s="10">
        <f>'4-5 ВИРОБ'!C24+'6-7 ТРАНС'!C23+'8-9 ПОСТ'!C20</f>
        <v>0</v>
      </c>
      <c r="D24" s="10">
        <f>'4-5 ВИРОБ'!D24+'6-7 ТРАНС'!D23+'8-9 ПОСТ'!D20</f>
        <v>0</v>
      </c>
      <c r="E24" s="16"/>
      <c r="F24" s="9">
        <v>3</v>
      </c>
      <c r="G24" s="25" t="s">
        <v>35</v>
      </c>
      <c r="H24" s="10">
        <f>'4-5 ВИРОБ'!H24+'6-7 ТРАНС'!H23+'8-9 ПОСТ'!H20</f>
        <v>0</v>
      </c>
      <c r="I24" s="10">
        <f>'4-5 ВИРОБ'!I24+'6-7 ТРАНС'!I23+'8-9 ПОСТ'!I20</f>
        <v>0</v>
      </c>
      <c r="J24" s="12">
        <v>3</v>
      </c>
      <c r="K24" s="10">
        <f>'4-5 ВИРОБ'!K24+'6-7 ТРАНС'!L23+'8-9 ПОСТ'!K20</f>
        <v>0</v>
      </c>
      <c r="L24" s="10">
        <f>'4-5 ВИРОБ'!L24+'6-7 ТРАНС'!M23+'8-9 ПОСТ'!L20</f>
        <v>0</v>
      </c>
      <c r="M24" s="21"/>
      <c r="N24" s="21"/>
      <c r="O24" s="26"/>
      <c r="P24" s="26"/>
      <c r="Q24" s="26"/>
      <c r="R24" s="26"/>
    </row>
    <row r="25" spans="1:18" x14ac:dyDescent="0.25">
      <c r="A25" s="9">
        <v>4</v>
      </c>
      <c r="B25" s="25" t="s">
        <v>36</v>
      </c>
      <c r="C25" s="10">
        <f>'4-5 ВИРОБ'!C25+'6-7 ТРАНС'!C24+'8-9 ПОСТ'!C21</f>
        <v>0</v>
      </c>
      <c r="D25" s="10">
        <f>'4-5 ВИРОБ'!D25+'6-7 ТРАНС'!D24+'8-9 ПОСТ'!D21</f>
        <v>0</v>
      </c>
      <c r="E25" s="16"/>
      <c r="F25" s="9">
        <v>4</v>
      </c>
      <c r="G25" s="25" t="s">
        <v>36</v>
      </c>
      <c r="H25" s="10">
        <v>0</v>
      </c>
      <c r="I25" s="10">
        <f>'4-5 ВИРОБ'!I25+'6-7 ТРАНС'!I24+'8-9 ПОСТ'!I26</f>
        <v>0</v>
      </c>
      <c r="J25" s="12">
        <v>4</v>
      </c>
      <c r="K25" s="10">
        <v>0</v>
      </c>
      <c r="L25" s="10">
        <v>0</v>
      </c>
      <c r="M25" s="21"/>
      <c r="N25" s="21"/>
      <c r="O25" s="26"/>
      <c r="P25" s="26"/>
      <c r="Q25" s="26"/>
      <c r="R25" s="26"/>
    </row>
    <row r="26" spans="1:18" x14ac:dyDescent="0.25">
      <c r="A26" s="9">
        <v>5</v>
      </c>
      <c r="B26" s="25" t="s">
        <v>37</v>
      </c>
      <c r="C26" s="10">
        <f>'4-5 ВИРОБ'!C26+'6-7 ТРАНС'!C25+'8-9 ПОСТ'!C22</f>
        <v>100431.93000000001</v>
      </c>
      <c r="D26" s="10">
        <f>'4-5 ВИРОБ'!D26+'6-7 ТРАНС'!D25+'8-9 ПОСТ'!D22</f>
        <v>1432.6548883005712</v>
      </c>
      <c r="E26" s="21"/>
      <c r="F26" s="9">
        <v>5</v>
      </c>
      <c r="G26" s="25" t="s">
        <v>37</v>
      </c>
      <c r="H26" s="10">
        <f>'4-5 ВИРОБ'!H26+'6-7 ТРАНС'!H25+'8-9 ПОСТ'!H22</f>
        <v>30840.6</v>
      </c>
      <c r="I26" s="10">
        <f>'4-5 ВИРОБ'!I26+'6-7 ТРАНС'!I25+'8-9 ПОСТ'!I22-0.01</f>
        <v>1896.8368965684906</v>
      </c>
      <c r="J26" s="12">
        <v>5</v>
      </c>
      <c r="K26" s="10">
        <f>'4-5 ВИРОБ'!K26+'6-7 ТРАНС'!L25+'8-9 ПОСТ'!K22</f>
        <v>9085.4599999999991</v>
      </c>
      <c r="L26" s="10">
        <f>L8+L21+L24</f>
        <v>1896.8367297957047</v>
      </c>
      <c r="M26" s="21"/>
      <c r="N26" s="21"/>
      <c r="O26" s="26"/>
      <c r="P26" s="26"/>
      <c r="Q26" s="26"/>
      <c r="R26" s="26"/>
    </row>
    <row r="27" spans="1:18" x14ac:dyDescent="0.25">
      <c r="A27" s="9">
        <v>6</v>
      </c>
      <c r="B27" s="25" t="s">
        <v>38</v>
      </c>
      <c r="C27" s="10">
        <v>0</v>
      </c>
      <c r="D27" s="10">
        <v>0</v>
      </c>
      <c r="E27" s="16"/>
      <c r="F27" s="9">
        <v>6</v>
      </c>
      <c r="G27" s="25" t="s">
        <v>38</v>
      </c>
      <c r="H27" s="10">
        <f>'4-5 ВИРОБ'!H27+'6-7 ТРАНС'!H26+'8-9 ПОСТ'!H23</f>
        <v>0</v>
      </c>
      <c r="I27" s="10">
        <f>'4-5 ВИРОБ'!I27+'6-7 ТРАНС'!I26+'8-9 ПОСТ'!I23</f>
        <v>0</v>
      </c>
      <c r="J27" s="12">
        <v>6</v>
      </c>
      <c r="K27" s="10">
        <f>'4-5 ВИРОБ'!K27+'6-7 ТРАНС'!L26+'8-9 ПОСТ'!K23</f>
        <v>0</v>
      </c>
      <c r="L27" s="10">
        <f>'4-5 ВИРОБ'!L27+'6-7 ТРАНС'!M26+'8-9 ПОСТ'!L23</f>
        <v>0</v>
      </c>
      <c r="M27" s="21"/>
      <c r="N27" s="21"/>
      <c r="O27" s="26"/>
      <c r="P27" s="26"/>
      <c r="Q27" s="26"/>
      <c r="R27" s="26"/>
    </row>
    <row r="28" spans="1:18" x14ac:dyDescent="0.25">
      <c r="A28" s="9">
        <v>7</v>
      </c>
      <c r="B28" s="25" t="s">
        <v>39</v>
      </c>
      <c r="C28" s="10">
        <f>'4-5 ВИРОБ'!C28+'6-7 ТРАНС'!C27+'8-9 ПОСТ'!C24</f>
        <v>0</v>
      </c>
      <c r="D28" s="10">
        <f>'4-5 ВИРОБ'!D28+'6-7 ТРАНС'!D27+'8-9 ПОСТ'!D24</f>
        <v>0</v>
      </c>
      <c r="E28" s="16"/>
      <c r="F28" s="9">
        <v>7</v>
      </c>
      <c r="G28" s="25" t="s">
        <v>39</v>
      </c>
      <c r="H28" s="10">
        <f>'4-5 ВИРОБ'!H28+'6-7 ТРАНС'!H27+'8-9 ПОСТ'!H24</f>
        <v>0</v>
      </c>
      <c r="I28" s="10">
        <f>'4-5 ВИРОБ'!I28+'6-7 ТРАНС'!I27+'8-9 ПОСТ'!I24</f>
        <v>0</v>
      </c>
      <c r="J28" s="10">
        <f>'4-5 ВИРОБ'!J28+'6-7 ТРАНС'!J27+'8-9 ПОСТ'!J24</f>
        <v>0.40703999999999996</v>
      </c>
      <c r="K28" s="10">
        <f>'4-5 ВИРОБ'!K28+'6-7 ТРАНС'!L27+'8-9 ПОСТ'!K24</f>
        <v>0</v>
      </c>
      <c r="L28" s="10">
        <f>'4-5 ВИРОБ'!L28+'6-7 ТРАНС'!M27+'8-9 ПОСТ'!L24</f>
        <v>0</v>
      </c>
      <c r="M28" s="21"/>
      <c r="N28" s="21"/>
      <c r="O28" s="26"/>
      <c r="P28" s="26"/>
      <c r="Q28" s="26"/>
      <c r="R28" s="26"/>
    </row>
    <row r="29" spans="1:18" x14ac:dyDescent="0.25">
      <c r="A29" s="86" t="s">
        <v>40</v>
      </c>
      <c r="B29" s="25" t="s">
        <v>41</v>
      </c>
      <c r="C29" s="10">
        <f>'4-5 ВИРОБ'!C29+'6-7 ТРАНС'!C28+'8-9 ПОСТ'!C25</f>
        <v>0</v>
      </c>
      <c r="D29" s="10">
        <f>'4-5 ВИРОБ'!D29+'6-7 ТРАНС'!D28+'8-9 ПОСТ'!D25</f>
        <v>0</v>
      </c>
      <c r="E29" s="16"/>
      <c r="F29" s="86" t="s">
        <v>40</v>
      </c>
      <c r="G29" s="25" t="s">
        <v>41</v>
      </c>
      <c r="H29" s="10">
        <f>'4-5 ВИРОБ'!H29+'6-7 ТРАНС'!H28+'8-9 ПОСТ'!H25</f>
        <v>0</v>
      </c>
      <c r="I29" s="10">
        <f>'4-5 ВИРОБ'!I29+'6-7 ТРАНС'!I28+'8-9 ПОСТ'!I25</f>
        <v>0</v>
      </c>
      <c r="J29" s="10">
        <f>'4-5 ВИРОБ'!J29+'6-7 ТРАНС'!J28+'8-9 ПОСТ'!J25</f>
        <v>7.3267199999999991E-2</v>
      </c>
      <c r="K29" s="10">
        <f>'4-5 ВИРОБ'!K29+'6-7 ТРАНС'!L28+'8-9 ПОСТ'!K25</f>
        <v>0</v>
      </c>
      <c r="L29" s="10">
        <f>'4-5 ВИРОБ'!L29+'6-7 ТРАНС'!M28+'8-9 ПОСТ'!L25</f>
        <v>0</v>
      </c>
      <c r="M29" s="21"/>
      <c r="N29" s="21"/>
      <c r="O29" s="26"/>
      <c r="P29" s="26"/>
      <c r="Q29" s="26"/>
      <c r="R29" s="26"/>
    </row>
    <row r="30" spans="1:18" x14ac:dyDescent="0.25">
      <c r="A30" s="86" t="s">
        <v>42</v>
      </c>
      <c r="B30" s="25" t="s">
        <v>43</v>
      </c>
      <c r="C30" s="10">
        <f>'4-5 ВИРОБ'!C30+'6-7 ТРАНС'!C29+'8-9 ПОСТ'!C26</f>
        <v>0</v>
      </c>
      <c r="D30" s="10">
        <f>'4-5 ВИРОБ'!D30+'6-7 ТРАНС'!D29+'8-9 ПОСТ'!D26</f>
        <v>0</v>
      </c>
      <c r="E30" s="16"/>
      <c r="F30" s="24" t="s">
        <v>42</v>
      </c>
      <c r="G30" s="25" t="s">
        <v>43</v>
      </c>
      <c r="H30" s="10">
        <f>'4-5 ВИРОБ'!H30+'6-7 ТРАНС'!H29+'8-9 ПОСТ'!H26</f>
        <v>0</v>
      </c>
      <c r="I30" s="10">
        <f>'4-5 ВИРОБ'!I30+'6-7 ТРАНС'!I29+'8-9 ПОСТ'!I26</f>
        <v>0</v>
      </c>
      <c r="J30" s="10">
        <f>'4-5 ВИРОБ'!J30+'6-7 ТРАНС'!J29+'8-9 ПОСТ'!J26</f>
        <v>4.0704000000000004E-2</v>
      </c>
      <c r="K30" s="10">
        <f>'4-5 ВИРОБ'!K30+'6-7 ТРАНС'!L29+'8-9 ПОСТ'!K26</f>
        <v>0</v>
      </c>
      <c r="L30" s="10">
        <f>'4-5 ВИРОБ'!L30+'6-7 ТРАНС'!M29+'8-9 ПОСТ'!L26</f>
        <v>0</v>
      </c>
      <c r="M30" s="21"/>
      <c r="N30" s="21"/>
      <c r="O30" s="26"/>
      <c r="P30" s="26"/>
      <c r="Q30" s="26"/>
      <c r="R30" s="26"/>
    </row>
    <row r="31" spans="1:18" x14ac:dyDescent="0.25">
      <c r="A31" s="86" t="s">
        <v>44</v>
      </c>
      <c r="B31" s="25" t="s">
        <v>45</v>
      </c>
      <c r="C31" s="10">
        <f>'4-5 ВИРОБ'!C32+'6-7 ТРАНС'!C31+'8-9 ПОСТ'!C27</f>
        <v>0</v>
      </c>
      <c r="D31" s="10">
        <f>'4-5 ВИРОБ'!D31+'6-7 ТРАНС'!D30+'8-9 ПОСТ'!D27</f>
        <v>0</v>
      </c>
      <c r="E31" s="16"/>
      <c r="F31" s="24" t="s">
        <v>44</v>
      </c>
      <c r="G31" s="25" t="s">
        <v>45</v>
      </c>
      <c r="H31" s="10">
        <f>'4-5 ВИРОБ'!H32+'6-7 ТРАНС'!H31+'8-9 ПОСТ'!H27</f>
        <v>0</v>
      </c>
      <c r="I31" s="10">
        <f>'4-5 ВИРОБ'!I32+'6-7 ТРАНС'!I31+'8-9 ПОСТ'!I27</f>
        <v>0</v>
      </c>
      <c r="J31" s="10">
        <f>'4-5 ВИРОБ'!J32+'6-7 ТРАНС'!J31+'8-9 ПОСТ'!J27</f>
        <v>0.29306880000000002</v>
      </c>
      <c r="K31" s="10">
        <f>'4-5 ВИРОБ'!K32+'6-7 ТРАНС'!L31+'8-9 ПОСТ'!K27</f>
        <v>0</v>
      </c>
      <c r="L31" s="10">
        <f>'4-5 ВИРОБ'!L32+'6-7 ТРАНС'!M31+'8-9 ПОСТ'!L27</f>
        <v>0</v>
      </c>
      <c r="M31" s="21"/>
      <c r="N31" s="21"/>
      <c r="O31" s="26"/>
      <c r="P31" s="26"/>
      <c r="Q31" s="26"/>
      <c r="R31" s="26"/>
    </row>
    <row r="32" spans="1:18" ht="30" x14ac:dyDescent="0.25">
      <c r="A32" s="86" t="s">
        <v>46</v>
      </c>
      <c r="B32" s="25" t="s">
        <v>47</v>
      </c>
      <c r="C32" s="10">
        <f>'4-5 ВИРОБ'!C33+'6-7 ТРАНС'!C32+'8-9 ПОСТ'!C28</f>
        <v>0</v>
      </c>
      <c r="D32" s="10">
        <f>'4-5 ВИРОБ'!D33+'6-7 ТРАНС'!D32+'8-9 ПОСТ'!D28</f>
        <v>0</v>
      </c>
      <c r="E32" s="16"/>
      <c r="F32" s="24" t="s">
        <v>46</v>
      </c>
      <c r="G32" s="25" t="s">
        <v>47</v>
      </c>
      <c r="H32" s="10">
        <v>0</v>
      </c>
      <c r="I32" s="10">
        <v>0</v>
      </c>
      <c r="J32" s="24" t="s">
        <v>46</v>
      </c>
      <c r="K32" s="10">
        <v>0</v>
      </c>
      <c r="L32" s="10">
        <v>0</v>
      </c>
      <c r="M32" s="21"/>
      <c r="N32" s="21"/>
      <c r="O32" s="26"/>
      <c r="P32" s="26"/>
      <c r="Q32" s="26"/>
      <c r="R32" s="26"/>
    </row>
    <row r="33" spans="1:18" x14ac:dyDescent="0.25">
      <c r="A33" s="9">
        <v>8</v>
      </c>
      <c r="B33" s="25" t="s">
        <v>48</v>
      </c>
      <c r="C33" s="10">
        <f>'4-5 ВИРОБ'!C34+'6-7 ТРАНС'!C33+'8-9 ПОСТ'!C29</f>
        <v>100431.93000000001</v>
      </c>
      <c r="D33" s="10">
        <f>'4-5 ВИРОБ'!D34+'6-7 ТРАНС'!D33+'8-9 ПОСТ'!D29</f>
        <v>1432.6548883005712</v>
      </c>
      <c r="E33" s="16"/>
      <c r="F33" s="9">
        <v>8</v>
      </c>
      <c r="G33" s="25" t="s">
        <v>48</v>
      </c>
      <c r="H33" s="10">
        <f>'4-5 ВИРОБ'!H34+'6-7 ТРАНС'!H33+'8-9 ПОСТ'!H29</f>
        <v>30840.6</v>
      </c>
      <c r="I33" s="10">
        <f>'4-5 ВИРОБ'!I34+'6-7 ТРАНС'!I33+'8-9 ПОСТ'!I29-0.01</f>
        <v>1896.8368965684906</v>
      </c>
      <c r="J33" s="10">
        <f>'4-5 ВИРОБ'!J34+'6-7 ТРАНС'!J33+'8-9 ПОСТ'!J29</f>
        <v>27.135680000000001</v>
      </c>
      <c r="K33" s="10">
        <f>'4-5 ВИРОБ'!K34+'6-7 ТРАНС'!L33+'8-9 ПОСТ'!K29</f>
        <v>9085.4599999999991</v>
      </c>
      <c r="L33" s="10">
        <f>'4-5 ВИРОБ'!L34+'6-7 ТРАНС'!M33+'8-9 ПОСТ'!L29-0.01</f>
        <v>1896.836729795705</v>
      </c>
      <c r="M33" s="21"/>
      <c r="N33" s="21"/>
      <c r="O33" s="26"/>
      <c r="P33" s="26"/>
      <c r="Q33" s="26"/>
      <c r="R33" s="26"/>
    </row>
    <row r="34" spans="1:18" x14ac:dyDescent="0.25">
      <c r="A34" s="12">
        <v>9</v>
      </c>
      <c r="B34" s="15" t="s">
        <v>49</v>
      </c>
      <c r="C34" s="10" t="s">
        <v>109</v>
      </c>
      <c r="D34" s="8">
        <f>D26</f>
        <v>1432.6548883005712</v>
      </c>
      <c r="E34" s="16"/>
      <c r="F34" s="12">
        <v>9</v>
      </c>
      <c r="G34" s="15" t="s">
        <v>49</v>
      </c>
      <c r="H34" s="9" t="s">
        <v>109</v>
      </c>
      <c r="I34" s="8">
        <f>I33</f>
        <v>1896.8368965684906</v>
      </c>
      <c r="J34" s="12">
        <v>9</v>
      </c>
      <c r="K34" s="12" t="s">
        <v>109</v>
      </c>
      <c r="L34" s="8">
        <f>L33</f>
        <v>1896.836729795705</v>
      </c>
      <c r="M34" s="21"/>
      <c r="N34" s="21"/>
      <c r="O34" s="26"/>
      <c r="P34" s="16"/>
      <c r="Q34" s="16"/>
      <c r="R34" s="16"/>
    </row>
    <row r="35" spans="1:18" x14ac:dyDescent="0.25">
      <c r="A35" s="24" t="s">
        <v>50</v>
      </c>
      <c r="B35" s="25" t="s">
        <v>51</v>
      </c>
      <c r="C35" s="8" t="s">
        <v>109</v>
      </c>
      <c r="D35" s="10">
        <f>D10</f>
        <v>888.33609098289242</v>
      </c>
      <c r="E35" s="16"/>
      <c r="F35" s="24" t="s">
        <v>50</v>
      </c>
      <c r="G35" s="25" t="s">
        <v>51</v>
      </c>
      <c r="H35" s="9" t="s">
        <v>109</v>
      </c>
      <c r="I35" s="10">
        <f>I10</f>
        <v>1352.5180254345755</v>
      </c>
      <c r="J35" s="24" t="s">
        <v>50</v>
      </c>
      <c r="K35" s="9" t="s">
        <v>109</v>
      </c>
      <c r="L35" s="10">
        <f>L10</f>
        <v>1352.5178504321682</v>
      </c>
      <c r="M35" s="21"/>
      <c r="N35" s="21"/>
      <c r="O35" s="26"/>
      <c r="P35" s="16"/>
      <c r="Q35" s="16"/>
      <c r="R35" s="16"/>
    </row>
    <row r="36" spans="1:18" x14ac:dyDescent="0.25">
      <c r="A36" s="24" t="s">
        <v>52</v>
      </c>
      <c r="B36" s="31" t="s">
        <v>53</v>
      </c>
      <c r="C36" s="8" t="s">
        <v>109</v>
      </c>
      <c r="D36" s="10">
        <f>D34-D35</f>
        <v>544.31879731767879</v>
      </c>
      <c r="E36" s="16"/>
      <c r="F36" s="24" t="s">
        <v>52</v>
      </c>
      <c r="G36" s="31" t="s">
        <v>53</v>
      </c>
      <c r="H36" s="9" t="s">
        <v>109</v>
      </c>
      <c r="I36" s="10">
        <f>I34-I35</f>
        <v>544.31887113391508</v>
      </c>
      <c r="J36" s="86" t="s">
        <v>52</v>
      </c>
      <c r="K36" s="9" t="s">
        <v>109</v>
      </c>
      <c r="L36" s="10">
        <f>L34-L35</f>
        <v>544.31887936353678</v>
      </c>
      <c r="M36" s="21"/>
      <c r="N36" s="21"/>
      <c r="O36" s="26"/>
      <c r="P36" s="16"/>
      <c r="Q36" s="16"/>
      <c r="R36" s="16"/>
    </row>
    <row r="37" spans="1:18" x14ac:dyDescent="0.25">
      <c r="A37" s="24">
        <v>10</v>
      </c>
      <c r="B37" s="25" t="s">
        <v>54</v>
      </c>
      <c r="C37" s="8" t="s">
        <v>109</v>
      </c>
      <c r="D37" s="10">
        <f>D35/D34%</f>
        <v>62.006286247809832</v>
      </c>
      <c r="E37" s="16"/>
      <c r="F37" s="24">
        <v>10</v>
      </c>
      <c r="G37" s="25" t="s">
        <v>54</v>
      </c>
      <c r="H37" s="9" t="s">
        <v>109</v>
      </c>
      <c r="I37" s="10">
        <f>I35/I34%</f>
        <v>71.303865286539619</v>
      </c>
      <c r="J37" s="86">
        <v>10</v>
      </c>
      <c r="K37" s="9" t="s">
        <v>109</v>
      </c>
      <c r="L37" s="10">
        <f>L35/L34%</f>
        <v>71.303862329671276</v>
      </c>
      <c r="M37" s="21"/>
      <c r="N37" s="21"/>
      <c r="O37" s="26"/>
      <c r="P37" s="16"/>
      <c r="Q37" s="16"/>
      <c r="R37" s="16"/>
    </row>
    <row r="38" spans="1:18" x14ac:dyDescent="0.25">
      <c r="A38" s="9">
        <v>11</v>
      </c>
      <c r="B38" s="31" t="s">
        <v>55</v>
      </c>
      <c r="C38" s="8" t="s">
        <v>109</v>
      </c>
      <c r="D38" s="10">
        <f>D36/D34%</f>
        <v>37.993713752190168</v>
      </c>
      <c r="E38" s="16"/>
      <c r="F38" s="9">
        <v>11</v>
      </c>
      <c r="G38" s="31" t="s">
        <v>55</v>
      </c>
      <c r="H38" s="9" t="s">
        <v>109</v>
      </c>
      <c r="I38" s="10">
        <f>I36/I34%</f>
        <v>28.696134713460374</v>
      </c>
      <c r="J38" s="9">
        <v>11</v>
      </c>
      <c r="K38" s="9" t="s">
        <v>109</v>
      </c>
      <c r="L38" s="10">
        <f>L36/L34%</f>
        <v>28.696137670328728</v>
      </c>
      <c r="M38" s="21"/>
      <c r="N38" s="21"/>
      <c r="O38" s="26"/>
      <c r="P38" s="16"/>
      <c r="Q38" s="16"/>
      <c r="R38" s="16"/>
    </row>
    <row r="39" spans="1:18" ht="30" x14ac:dyDescent="0.25">
      <c r="A39" s="9">
        <v>12</v>
      </c>
      <c r="B39" s="25" t="s">
        <v>56</v>
      </c>
      <c r="C39" s="10">
        <v>70101.97</v>
      </c>
      <c r="D39" s="9" t="s">
        <v>109</v>
      </c>
      <c r="E39" s="16"/>
      <c r="F39" s="9">
        <v>12</v>
      </c>
      <c r="G39" s="25" t="s">
        <v>56</v>
      </c>
      <c r="H39" s="10">
        <v>16258.97</v>
      </c>
      <c r="I39" s="9" t="s">
        <v>109</v>
      </c>
      <c r="J39" s="9">
        <v>12</v>
      </c>
      <c r="K39" s="10">
        <v>4789.8</v>
      </c>
      <c r="L39" s="9" t="s">
        <v>109</v>
      </c>
      <c r="M39" s="21"/>
      <c r="N39" s="21"/>
      <c r="O39" s="26"/>
      <c r="P39" s="26"/>
      <c r="Q39" s="16"/>
      <c r="R39" s="16"/>
    </row>
    <row r="40" spans="1:18" x14ac:dyDescent="0.25">
      <c r="A40" s="9">
        <v>13</v>
      </c>
      <c r="B40" s="25" t="s">
        <v>57</v>
      </c>
      <c r="C40" s="10">
        <f>C28/C26*100</f>
        <v>0</v>
      </c>
      <c r="D40" s="10">
        <f>D28/D26*100</f>
        <v>0</v>
      </c>
      <c r="E40" s="16"/>
      <c r="F40" s="9">
        <v>13</v>
      </c>
      <c r="G40" s="25" t="s">
        <v>57</v>
      </c>
      <c r="H40" s="10">
        <f>H28/H26*100</f>
        <v>0</v>
      </c>
      <c r="I40" s="10">
        <f>I28/I26*100</f>
        <v>0</v>
      </c>
      <c r="J40" s="10">
        <f>J28/J26*100</f>
        <v>8.1407999999999987</v>
      </c>
      <c r="K40" s="10">
        <f>K28/K26*100</f>
        <v>0</v>
      </c>
      <c r="L40" s="10">
        <f>L28/L26*100</f>
        <v>0</v>
      </c>
      <c r="M40" s="21"/>
      <c r="N40" s="21"/>
      <c r="O40" s="26"/>
      <c r="P40" s="16"/>
      <c r="Q40" s="16"/>
      <c r="R40" s="16"/>
    </row>
    <row r="41" spans="1:18" x14ac:dyDescent="0.25">
      <c r="A41" s="68"/>
      <c r="B41" s="69"/>
      <c r="C41" s="70"/>
      <c r="D41" s="70"/>
      <c r="E41" s="16"/>
      <c r="F41" s="68"/>
      <c r="G41" s="69"/>
      <c r="H41" s="70"/>
      <c r="I41" s="70"/>
      <c r="J41" s="70"/>
      <c r="K41" s="70"/>
      <c r="L41" s="70"/>
      <c r="M41" s="21"/>
      <c r="N41" s="21"/>
      <c r="O41" s="26"/>
      <c r="P41" s="16"/>
      <c r="Q41" s="16"/>
      <c r="R41" s="16"/>
    </row>
    <row r="42" spans="1:18" ht="24.75" customHeight="1" x14ac:dyDescent="0.25">
      <c r="A42" s="110" t="s">
        <v>129</v>
      </c>
      <c r="B42" s="110"/>
      <c r="C42" s="21"/>
      <c r="D42" s="16"/>
      <c r="E42" s="16"/>
      <c r="F42" s="105" t="s">
        <v>129</v>
      </c>
      <c r="G42" s="105"/>
      <c r="H42" s="21"/>
      <c r="I42" s="16"/>
      <c r="J42" s="16" t="s">
        <v>120</v>
      </c>
      <c r="K42" s="21"/>
      <c r="L42" s="16"/>
      <c r="M42" s="16"/>
      <c r="N42" s="16"/>
      <c r="O42" s="16"/>
      <c r="P42" s="16"/>
      <c r="Q42" s="16"/>
      <c r="R42" s="16"/>
    </row>
    <row r="43" spans="1:18" ht="15" customHeight="1" x14ac:dyDescent="0.25">
      <c r="A43" s="110"/>
      <c r="B43" s="110"/>
      <c r="C43" s="16"/>
      <c r="D43" s="16"/>
      <c r="E43" s="16"/>
      <c r="F43" s="105"/>
      <c r="G43" s="105"/>
      <c r="H43" s="16"/>
      <c r="I43" s="16"/>
      <c r="J43" s="16" t="s">
        <v>121</v>
      </c>
      <c r="K43" s="16"/>
      <c r="L43" s="16"/>
      <c r="M43" s="16"/>
      <c r="N43" s="16"/>
      <c r="O43" s="16"/>
      <c r="P43" s="16"/>
      <c r="Q43" s="16"/>
      <c r="R43" s="16"/>
    </row>
    <row r="44" spans="1:18" ht="45.75" customHeight="1" x14ac:dyDescent="0.25">
      <c r="A44" s="110"/>
      <c r="B44" s="110"/>
      <c r="C44" s="17"/>
      <c r="E44" s="18"/>
      <c r="F44" s="105"/>
      <c r="G44" s="105"/>
      <c r="H44" s="17"/>
      <c r="I44" s="18"/>
      <c r="J44" s="16"/>
      <c r="M44" s="16"/>
      <c r="N44" s="16"/>
      <c r="O44" s="16"/>
      <c r="P44" s="16"/>
      <c r="Q44" s="16"/>
      <c r="R44" s="16"/>
    </row>
    <row r="45" spans="1:18" ht="15" customHeight="1" x14ac:dyDescent="0.25">
      <c r="A45" s="110"/>
      <c r="B45" s="110"/>
      <c r="C45" s="16"/>
      <c r="D45" s="16"/>
      <c r="E45" s="16"/>
      <c r="F45" s="105"/>
      <c r="G45" s="105"/>
      <c r="H45" s="16"/>
      <c r="I45" s="16"/>
      <c r="J45" s="16" t="s">
        <v>122</v>
      </c>
      <c r="K45" s="16"/>
      <c r="L45" s="16"/>
      <c r="M45" s="16"/>
      <c r="N45" s="16"/>
      <c r="O45" s="16"/>
      <c r="P45" s="16"/>
      <c r="Q45" s="16"/>
      <c r="R45" s="16"/>
    </row>
    <row r="46" spans="1:18" ht="18.75" x14ac:dyDescent="0.3">
      <c r="A46" s="110"/>
      <c r="B46" s="110"/>
      <c r="D46" s="92" t="s">
        <v>132</v>
      </c>
      <c r="F46" s="105"/>
      <c r="G46" s="105"/>
      <c r="K46" s="107" t="s">
        <v>132</v>
      </c>
      <c r="L46" s="107"/>
    </row>
  </sheetData>
  <mergeCells count="17">
    <mergeCell ref="F42:G46"/>
    <mergeCell ref="F4:L4"/>
    <mergeCell ref="G6:G7"/>
    <mergeCell ref="A4:D4"/>
    <mergeCell ref="K46:L46"/>
    <mergeCell ref="B6:B7"/>
    <mergeCell ref="C6:D6"/>
    <mergeCell ref="F6:F7"/>
    <mergeCell ref="A42:B46"/>
    <mergeCell ref="C1:D1"/>
    <mergeCell ref="A3:D3"/>
    <mergeCell ref="A6:A7"/>
    <mergeCell ref="F3:L3"/>
    <mergeCell ref="I1:L1"/>
    <mergeCell ref="H6:I6"/>
    <mergeCell ref="J6:J7"/>
    <mergeCell ref="K6:L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0" fitToWidth="2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BreakPreview" topLeftCell="A31" zoomScaleNormal="100" workbookViewId="0">
      <selection activeCell="B6" sqref="B6:B7"/>
    </sheetView>
  </sheetViews>
  <sheetFormatPr defaultColWidth="8.85546875" defaultRowHeight="15" x14ac:dyDescent="0.25"/>
  <cols>
    <col min="1" max="1" width="12.28515625" style="1" customWidth="1"/>
    <col min="2" max="2" width="60.140625" style="1" customWidth="1"/>
    <col min="3" max="3" width="23.5703125" style="1" customWidth="1"/>
    <col min="4" max="4" width="21.85546875" style="1" customWidth="1"/>
    <col min="5" max="6" width="8.85546875" style="1"/>
    <col min="7" max="7" width="43.140625" style="1" customWidth="1"/>
    <col min="8" max="8" width="18.7109375" style="1" customWidth="1"/>
    <col min="9" max="9" width="16.7109375" style="1" customWidth="1"/>
    <col min="10" max="10" width="0" style="1" hidden="1" customWidth="1"/>
    <col min="11" max="11" width="18.42578125" style="1" customWidth="1"/>
    <col min="12" max="12" width="17.7109375" style="1" customWidth="1"/>
    <col min="13" max="13" width="12.5703125" style="1" customWidth="1"/>
    <col min="14" max="14" width="13" style="1" customWidth="1"/>
    <col min="15" max="16384" width="8.85546875" style="1"/>
  </cols>
  <sheetData>
    <row r="1" spans="1:15" ht="124.5" customHeight="1" x14ac:dyDescent="0.3">
      <c r="A1" s="65"/>
      <c r="B1" s="65"/>
      <c r="C1" s="99" t="s">
        <v>133</v>
      </c>
      <c r="D1" s="99"/>
      <c r="E1" s="65"/>
      <c r="F1" s="65"/>
      <c r="G1" s="65"/>
      <c r="H1" s="65"/>
      <c r="I1" s="99" t="s">
        <v>134</v>
      </c>
      <c r="J1" s="99"/>
      <c r="K1" s="99"/>
      <c r="L1" s="99"/>
    </row>
    <row r="2" spans="1:15" ht="20.25" customHeight="1" x14ac:dyDescent="0.3">
      <c r="A2" s="65"/>
      <c r="B2" s="65"/>
      <c r="C2" s="66"/>
      <c r="D2" s="66"/>
      <c r="E2" s="65"/>
      <c r="F2" s="65"/>
      <c r="G2" s="65"/>
      <c r="H2" s="65"/>
      <c r="I2" s="66"/>
      <c r="J2" s="66"/>
      <c r="K2" s="66"/>
      <c r="L2" s="66"/>
    </row>
    <row r="3" spans="1:15" ht="18.75" x14ac:dyDescent="0.3">
      <c r="A3" s="100" t="s">
        <v>58</v>
      </c>
      <c r="B3" s="100"/>
      <c r="C3" s="100"/>
      <c r="D3" s="100"/>
      <c r="E3" s="72"/>
      <c r="F3" s="100" t="s">
        <v>58</v>
      </c>
      <c r="G3" s="100"/>
      <c r="H3" s="100"/>
      <c r="I3" s="100"/>
      <c r="J3" s="100"/>
      <c r="K3" s="100"/>
      <c r="L3" s="100"/>
    </row>
    <row r="4" spans="1:15" ht="43.5" customHeight="1" x14ac:dyDescent="0.3">
      <c r="A4" s="106" t="s">
        <v>124</v>
      </c>
      <c r="B4" s="106"/>
      <c r="C4" s="106"/>
      <c r="D4" s="106"/>
      <c r="E4" s="73"/>
      <c r="F4" s="106" t="s">
        <v>124</v>
      </c>
      <c r="G4" s="100"/>
      <c r="H4" s="100"/>
      <c r="I4" s="100"/>
      <c r="J4" s="100"/>
      <c r="K4" s="100"/>
      <c r="L4" s="100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 t="s">
        <v>119</v>
      </c>
    </row>
    <row r="6" spans="1:15" ht="36" customHeight="1" x14ac:dyDescent="0.25">
      <c r="A6" s="101" t="s">
        <v>1</v>
      </c>
      <c r="B6" s="101" t="s">
        <v>2</v>
      </c>
      <c r="C6" s="111" t="s">
        <v>3</v>
      </c>
      <c r="D6" s="112"/>
      <c r="E6" s="16"/>
      <c r="F6" s="101" t="s">
        <v>1</v>
      </c>
      <c r="G6" s="101" t="s">
        <v>2</v>
      </c>
      <c r="H6" s="114" t="s">
        <v>4</v>
      </c>
      <c r="I6" s="115"/>
      <c r="J6" s="104" t="s">
        <v>1</v>
      </c>
      <c r="K6" s="114" t="s">
        <v>5</v>
      </c>
      <c r="L6" s="115"/>
    </row>
    <row r="7" spans="1:15" x14ac:dyDescent="0.25">
      <c r="A7" s="101"/>
      <c r="B7" s="101"/>
      <c r="C7" s="9" t="s">
        <v>6</v>
      </c>
      <c r="D7" s="9" t="s">
        <v>7</v>
      </c>
      <c r="E7" s="16"/>
      <c r="F7" s="101"/>
      <c r="G7" s="101"/>
      <c r="H7" s="19" t="s">
        <v>6</v>
      </c>
      <c r="I7" s="19" t="s">
        <v>7</v>
      </c>
      <c r="J7" s="104"/>
      <c r="K7" s="19" t="s">
        <v>6</v>
      </c>
      <c r="L7" s="19" t="s">
        <v>7</v>
      </c>
    </row>
    <row r="8" spans="1:15" x14ac:dyDescent="0.25">
      <c r="A8" s="12">
        <v>1</v>
      </c>
      <c r="B8" s="15" t="s">
        <v>8</v>
      </c>
      <c r="C8" s="8">
        <f>C9+C14+C15+C18</f>
        <v>90212.31</v>
      </c>
      <c r="D8" s="8">
        <f>D9+D14+D15+D18</f>
        <v>1286.8726798975833</v>
      </c>
      <c r="E8" s="16"/>
      <c r="F8" s="12">
        <v>1</v>
      </c>
      <c r="G8" s="15" t="s">
        <v>8</v>
      </c>
      <c r="H8" s="8">
        <f>H9+H14+H15+H18</f>
        <v>28470.339999999997</v>
      </c>
      <c r="I8" s="8">
        <f>I9+I14+I15+I18</f>
        <v>1751.0543410806465</v>
      </c>
      <c r="J8" s="12">
        <v>1</v>
      </c>
      <c r="K8" s="8">
        <f>K9+K14+K15+K18</f>
        <v>8387.2000000000007</v>
      </c>
      <c r="L8" s="8">
        <f>L9+L14+L15+L18</f>
        <v>1751.0543237713473</v>
      </c>
      <c r="M8" s="2"/>
      <c r="N8" s="2"/>
      <c r="O8" s="2"/>
    </row>
    <row r="9" spans="1:15" x14ac:dyDescent="0.25">
      <c r="A9" s="86" t="s">
        <v>9</v>
      </c>
      <c r="B9" s="25" t="s">
        <v>10</v>
      </c>
      <c r="C9" s="10">
        <f>SUM(C10:C13)</f>
        <v>68510.23</v>
      </c>
      <c r="D9" s="10">
        <f>SUM(D10:D13)</f>
        <v>977.2939333944538</v>
      </c>
      <c r="E9" s="16"/>
      <c r="F9" s="24" t="s">
        <v>9</v>
      </c>
      <c r="G9" s="25" t="s">
        <v>10</v>
      </c>
      <c r="H9" s="10">
        <f>SUM(H10:H13)</f>
        <v>23436.909999999996</v>
      </c>
      <c r="I9" s="10">
        <f>SUM(I10:I13)</f>
        <v>1441.4756900344858</v>
      </c>
      <c r="J9" s="86" t="s">
        <v>9</v>
      </c>
      <c r="K9" s="10">
        <f>SUM(K10:K13)</f>
        <v>6904.38</v>
      </c>
      <c r="L9" s="10">
        <f>SUM(L10:L13)</f>
        <v>1441.4756357259173</v>
      </c>
      <c r="N9" s="2"/>
    </row>
    <row r="10" spans="1:15" ht="30" x14ac:dyDescent="0.25">
      <c r="A10" s="86" t="s">
        <v>11</v>
      </c>
      <c r="B10" s="25" t="s">
        <v>12</v>
      </c>
      <c r="C10" s="10">
        <v>62274.11</v>
      </c>
      <c r="D10" s="10">
        <f>C10/$C$40*1000</f>
        <v>888.33609098289242</v>
      </c>
      <c r="E10" s="16"/>
      <c r="F10" s="24" t="s">
        <v>11</v>
      </c>
      <c r="G10" s="25" t="s">
        <v>12</v>
      </c>
      <c r="H10" s="10">
        <v>21990.55</v>
      </c>
      <c r="I10" s="10">
        <f>H10/$H$40*1000</f>
        <v>1352.5180254345755</v>
      </c>
      <c r="J10" s="86" t="s">
        <v>11</v>
      </c>
      <c r="K10" s="10">
        <v>6478.29</v>
      </c>
      <c r="L10" s="10">
        <f>K10/$K$40*1000</f>
        <v>1352.5178504321682</v>
      </c>
      <c r="N10" s="2"/>
    </row>
    <row r="11" spans="1:15" x14ac:dyDescent="0.25">
      <c r="A11" s="24" t="s">
        <v>13</v>
      </c>
      <c r="B11" s="25" t="s">
        <v>14</v>
      </c>
      <c r="C11" s="10">
        <v>4304.5600000000004</v>
      </c>
      <c r="D11" s="10">
        <f>C11/$C$40*1000</f>
        <v>61.404265814498508</v>
      </c>
      <c r="E11" s="16"/>
      <c r="F11" s="24" t="s">
        <v>13</v>
      </c>
      <c r="G11" s="25" t="s">
        <v>14</v>
      </c>
      <c r="H11" s="10">
        <v>998.37</v>
      </c>
      <c r="I11" s="10">
        <f>H11/$H$40*1000</f>
        <v>61.404258695354017</v>
      </c>
      <c r="J11" s="86" t="s">
        <v>13</v>
      </c>
      <c r="K11" s="10">
        <v>294.11</v>
      </c>
      <c r="L11" s="10">
        <f t="shared" ref="L11:L24" si="0">K11/$K$40*1000</f>
        <v>61.403398889306445</v>
      </c>
      <c r="M11" s="2"/>
      <c r="N11" s="2"/>
    </row>
    <row r="12" spans="1:15" ht="30" x14ac:dyDescent="0.25">
      <c r="A12" s="24" t="s">
        <v>15</v>
      </c>
      <c r="B12" s="25" t="s">
        <v>16</v>
      </c>
      <c r="C12" s="10">
        <v>263.61</v>
      </c>
      <c r="D12" s="10">
        <f t="shared" ref="D12:D24" si="1">C12/$C$40*1000</f>
        <v>3.7603793445462372</v>
      </c>
      <c r="E12" s="16"/>
      <c r="F12" s="24" t="s">
        <v>15</v>
      </c>
      <c r="G12" s="25" t="s">
        <v>16</v>
      </c>
      <c r="H12" s="10">
        <v>61.14</v>
      </c>
      <c r="I12" s="10">
        <f>H12/$H$40*1000</f>
        <v>3.7603858054969042</v>
      </c>
      <c r="J12" s="86" t="s">
        <v>15</v>
      </c>
      <c r="K12" s="10">
        <v>18.010000000000002</v>
      </c>
      <c r="L12" s="10">
        <f t="shared" si="0"/>
        <v>3.7600734894985179</v>
      </c>
      <c r="M12" s="2"/>
      <c r="N12" s="2"/>
    </row>
    <row r="13" spans="1:15" ht="30" x14ac:dyDescent="0.25">
      <c r="A13" s="24" t="s">
        <v>17</v>
      </c>
      <c r="B13" s="25" t="s">
        <v>18</v>
      </c>
      <c r="C13" s="10">
        <v>1667.95</v>
      </c>
      <c r="D13" s="10">
        <f t="shared" si="1"/>
        <v>23.793197252516581</v>
      </c>
      <c r="E13" s="16"/>
      <c r="F13" s="24" t="s">
        <v>17</v>
      </c>
      <c r="G13" s="25" t="s">
        <v>18</v>
      </c>
      <c r="H13" s="10">
        <v>386.85</v>
      </c>
      <c r="I13" s="10">
        <f>H13/$H$40*1000</f>
        <v>23.79302009905917</v>
      </c>
      <c r="J13" s="86" t="s">
        <v>17</v>
      </c>
      <c r="K13" s="10">
        <v>113.97</v>
      </c>
      <c r="L13" s="10">
        <f t="shared" si="0"/>
        <v>23.794312914944253</v>
      </c>
      <c r="M13" s="2"/>
      <c r="N13" s="2"/>
    </row>
    <row r="14" spans="1:15" ht="30" x14ac:dyDescent="0.25">
      <c r="A14" s="24" t="s">
        <v>19</v>
      </c>
      <c r="B14" s="25" t="s">
        <v>20</v>
      </c>
      <c r="C14" s="10">
        <v>7992.16</v>
      </c>
      <c r="D14" s="10">
        <f t="shared" si="1"/>
        <v>114.00763773115078</v>
      </c>
      <c r="E14" s="16"/>
      <c r="F14" s="24" t="s">
        <v>19</v>
      </c>
      <c r="G14" s="25" t="s">
        <v>20</v>
      </c>
      <c r="H14" s="10">
        <v>1853.64</v>
      </c>
      <c r="I14" s="10">
        <f>H14/$H$40*1000</f>
        <v>114.00722185968732</v>
      </c>
      <c r="J14" s="86" t="s">
        <v>19</v>
      </c>
      <c r="K14" s="10">
        <v>546.07000000000005</v>
      </c>
      <c r="L14" s="10">
        <f t="shared" si="0"/>
        <v>114.00684788508914</v>
      </c>
      <c r="M14" s="2"/>
      <c r="N14" s="2"/>
    </row>
    <row r="15" spans="1:15" x14ac:dyDescent="0.25">
      <c r="A15" s="24" t="s">
        <v>21</v>
      </c>
      <c r="B15" s="25" t="s">
        <v>22</v>
      </c>
      <c r="C15" s="10">
        <f>SUM(C16:C17)</f>
        <v>2321.63</v>
      </c>
      <c r="D15" s="10">
        <f>SUM(D16:D17)</f>
        <v>33.11789953977042</v>
      </c>
      <c r="E15" s="16"/>
      <c r="F15" s="24" t="s">
        <v>21</v>
      </c>
      <c r="G15" s="25" t="s">
        <v>22</v>
      </c>
      <c r="H15" s="10">
        <f>SUM(H16:H17)</f>
        <v>538.47</v>
      </c>
      <c r="I15" s="10">
        <f>SUM(I16:I17)</f>
        <v>33.118334064211943</v>
      </c>
      <c r="J15" s="86" t="s">
        <v>21</v>
      </c>
      <c r="K15" s="10">
        <f>SUM(K16:K17)</f>
        <v>158.63999999999999</v>
      </c>
      <c r="L15" s="10">
        <f>SUM(L16:L17)</f>
        <v>33.12038080921959</v>
      </c>
      <c r="N15" s="2"/>
    </row>
    <row r="16" spans="1:15" x14ac:dyDescent="0.25">
      <c r="A16" s="24" t="s">
        <v>23</v>
      </c>
      <c r="B16" s="25" t="s">
        <v>24</v>
      </c>
      <c r="C16" s="10">
        <v>747.51</v>
      </c>
      <c r="D16" s="10">
        <f>C16/$C$40*1000</f>
        <v>10.663181077507522</v>
      </c>
      <c r="E16" s="16"/>
      <c r="F16" s="86" t="s">
        <v>23</v>
      </c>
      <c r="G16" s="25" t="s">
        <v>24</v>
      </c>
      <c r="H16" s="10">
        <v>173.37</v>
      </c>
      <c r="I16" s="10">
        <f>H16/$H$40*1000</f>
        <v>10.663037080454668</v>
      </c>
      <c r="J16" s="86" t="s">
        <v>23</v>
      </c>
      <c r="K16" s="10">
        <v>51.07</v>
      </c>
      <c r="L16" s="10">
        <f t="shared" si="0"/>
        <v>10.662240594596851</v>
      </c>
      <c r="N16" s="2"/>
    </row>
    <row r="17" spans="1:14" x14ac:dyDescent="0.25">
      <c r="A17" s="24" t="s">
        <v>25</v>
      </c>
      <c r="B17" s="25" t="s">
        <v>31</v>
      </c>
      <c r="C17" s="10">
        <v>1574.12</v>
      </c>
      <c r="D17" s="10">
        <f t="shared" si="1"/>
        <v>22.4547184622629</v>
      </c>
      <c r="E17" s="16"/>
      <c r="F17" s="86" t="s">
        <v>25</v>
      </c>
      <c r="G17" s="25" t="s">
        <v>31</v>
      </c>
      <c r="H17" s="10">
        <v>365.1</v>
      </c>
      <c r="I17" s="10">
        <f>H17/$H$40*1000</f>
        <v>22.455296983757275</v>
      </c>
      <c r="J17" s="86" t="s">
        <v>25</v>
      </c>
      <c r="K17" s="10">
        <v>107.57</v>
      </c>
      <c r="L17" s="10">
        <f t="shared" si="0"/>
        <v>22.458140214622738</v>
      </c>
      <c r="N17" s="2"/>
    </row>
    <row r="18" spans="1:14" ht="26.25" customHeight="1" x14ac:dyDescent="0.25">
      <c r="A18" s="24" t="s">
        <v>26</v>
      </c>
      <c r="B18" s="25" t="s">
        <v>27</v>
      </c>
      <c r="C18" s="10">
        <f>SUM(C19:C20)</f>
        <v>11388.29</v>
      </c>
      <c r="D18" s="10">
        <f>SUM(D19:D20)</f>
        <v>162.45320923220842</v>
      </c>
      <c r="E18" s="16"/>
      <c r="F18" s="86" t="s">
        <v>26</v>
      </c>
      <c r="G18" s="25" t="s">
        <v>27</v>
      </c>
      <c r="H18" s="10">
        <f>SUM(H19:H20)</f>
        <v>2641.3199999999997</v>
      </c>
      <c r="I18" s="10">
        <f>SUM(I19:I20)</f>
        <v>162.45309512226171</v>
      </c>
      <c r="J18" s="86" t="s">
        <v>26</v>
      </c>
      <c r="K18" s="10">
        <f>SUM(K19:K20)</f>
        <v>778.11</v>
      </c>
      <c r="L18" s="10">
        <f>SUM(L19:L20)</f>
        <v>162.45145935112112</v>
      </c>
      <c r="N18" s="2"/>
    </row>
    <row r="19" spans="1:14" ht="30" x14ac:dyDescent="0.25">
      <c r="A19" s="24" t="s">
        <v>28</v>
      </c>
      <c r="B19" s="31" t="s">
        <v>29</v>
      </c>
      <c r="C19" s="10">
        <v>10099.84</v>
      </c>
      <c r="D19" s="10">
        <f t="shared" si="1"/>
        <v>144.07355456629818</v>
      </c>
      <c r="E19" s="16"/>
      <c r="F19" s="86" t="s">
        <v>28</v>
      </c>
      <c r="G19" s="31" t="s">
        <v>29</v>
      </c>
      <c r="H19" s="10">
        <v>2342.4899999999998</v>
      </c>
      <c r="I19" s="10">
        <f>H19/$H$40*1000</f>
        <v>144.07370208567946</v>
      </c>
      <c r="J19" s="86" t="s">
        <v>28</v>
      </c>
      <c r="K19" s="10">
        <v>690.08</v>
      </c>
      <c r="L19" s="10">
        <f t="shared" si="0"/>
        <v>144.07282141216751</v>
      </c>
      <c r="N19" s="2"/>
    </row>
    <row r="20" spans="1:14" x14ac:dyDescent="0.25">
      <c r="A20" s="24" t="s">
        <v>30</v>
      </c>
      <c r="B20" s="25" t="s">
        <v>59</v>
      </c>
      <c r="C20" s="10">
        <v>1288.45</v>
      </c>
      <c r="D20" s="10">
        <f t="shared" si="1"/>
        <v>18.379654665910245</v>
      </c>
      <c r="E20" s="16"/>
      <c r="F20" s="86" t="s">
        <v>30</v>
      </c>
      <c r="G20" s="25" t="s">
        <v>59</v>
      </c>
      <c r="H20" s="10">
        <v>298.83</v>
      </c>
      <c r="I20" s="10">
        <f>H20/$H$40*1000</f>
        <v>18.379393036582268</v>
      </c>
      <c r="J20" s="86" t="s">
        <v>30</v>
      </c>
      <c r="K20" s="10">
        <v>88.03</v>
      </c>
      <c r="L20" s="10">
        <f t="shared" si="0"/>
        <v>18.378637938953609</v>
      </c>
      <c r="N20" s="2"/>
    </row>
    <row r="21" spans="1:14" x14ac:dyDescent="0.25">
      <c r="A21" s="9">
        <v>2</v>
      </c>
      <c r="B21" s="25" t="s">
        <v>32</v>
      </c>
      <c r="C21" s="10">
        <f>SUM(C22:C23)</f>
        <v>3449.0299999999997</v>
      </c>
      <c r="D21" s="10">
        <f>SUM(D22:D23)</f>
        <v>49.200186528281591</v>
      </c>
      <c r="E21" s="16"/>
      <c r="F21" s="9">
        <v>2</v>
      </c>
      <c r="G21" s="25" t="s">
        <v>32</v>
      </c>
      <c r="H21" s="10">
        <f>SUM(H22:H23)</f>
        <v>799.94999999999993</v>
      </c>
      <c r="I21" s="10">
        <f>SUM(I22:I23)</f>
        <v>49.200533613137857</v>
      </c>
      <c r="J21" s="9">
        <v>2</v>
      </c>
      <c r="K21" s="10">
        <f>SUM(K22:K23)</f>
        <v>235.66</v>
      </c>
      <c r="L21" s="10">
        <f>SUM(L22:L23)</f>
        <v>49.200384149651342</v>
      </c>
      <c r="N21" s="2"/>
    </row>
    <row r="22" spans="1:14" ht="30" x14ac:dyDescent="0.25">
      <c r="A22" s="86" t="s">
        <v>33</v>
      </c>
      <c r="B22" s="31" t="s">
        <v>29</v>
      </c>
      <c r="C22" s="10">
        <v>2927.23</v>
      </c>
      <c r="D22" s="10">
        <f t="shared" si="1"/>
        <v>41.756743783377274</v>
      </c>
      <c r="E22" s="16"/>
      <c r="F22" s="86" t="s">
        <v>33</v>
      </c>
      <c r="G22" s="31" t="s">
        <v>29</v>
      </c>
      <c r="H22" s="10">
        <v>678.92</v>
      </c>
      <c r="I22" s="10">
        <f>H22/$H$40*1000</f>
        <v>41.756642640954503</v>
      </c>
      <c r="J22" s="86" t="s">
        <v>33</v>
      </c>
      <c r="K22" s="10">
        <v>200.01</v>
      </c>
      <c r="L22" s="10">
        <f t="shared" si="0"/>
        <v>41.757484654891641</v>
      </c>
      <c r="N22" s="2"/>
    </row>
    <row r="23" spans="1:14" x14ac:dyDescent="0.25">
      <c r="A23" s="86" t="s">
        <v>34</v>
      </c>
      <c r="B23" s="25" t="s">
        <v>59</v>
      </c>
      <c r="C23" s="10">
        <v>521.79999999999995</v>
      </c>
      <c r="D23" s="10">
        <f t="shared" si="1"/>
        <v>7.4434427449043152</v>
      </c>
      <c r="E23" s="16"/>
      <c r="F23" s="86" t="s">
        <v>34</v>
      </c>
      <c r="G23" s="25" t="s">
        <v>59</v>
      </c>
      <c r="H23" s="10">
        <v>121.03</v>
      </c>
      <c r="I23" s="10">
        <f>H23/$H$40*1000</f>
        <v>7.4438909721833557</v>
      </c>
      <c r="J23" s="86" t="s">
        <v>34</v>
      </c>
      <c r="K23" s="10">
        <v>35.65</v>
      </c>
      <c r="L23" s="10">
        <f>K23/$K$40*1000</f>
        <v>7.4428994947596969</v>
      </c>
      <c r="N23" s="2"/>
    </row>
    <row r="24" spans="1:14" x14ac:dyDescent="0.25">
      <c r="A24" s="9">
        <v>3</v>
      </c>
      <c r="B24" s="25" t="s">
        <v>35</v>
      </c>
      <c r="C24" s="10">
        <v>0</v>
      </c>
      <c r="D24" s="10">
        <f t="shared" si="1"/>
        <v>0</v>
      </c>
      <c r="E24" s="16"/>
      <c r="F24" s="9">
        <v>3</v>
      </c>
      <c r="G24" s="25" t="s">
        <v>35</v>
      </c>
      <c r="H24" s="10">
        <v>0</v>
      </c>
      <c r="I24" s="10">
        <f>H24/$H$40*1000</f>
        <v>0</v>
      </c>
      <c r="J24" s="9">
        <v>3</v>
      </c>
      <c r="K24" s="10">
        <v>0</v>
      </c>
      <c r="L24" s="10">
        <f t="shared" si="0"/>
        <v>0</v>
      </c>
      <c r="N24" s="2"/>
    </row>
    <row r="25" spans="1:14" x14ac:dyDescent="0.25">
      <c r="A25" s="9">
        <v>4</v>
      </c>
      <c r="B25" s="25" t="s">
        <v>36</v>
      </c>
      <c r="C25" s="10">
        <v>0</v>
      </c>
      <c r="D25" s="10">
        <v>0</v>
      </c>
      <c r="E25" s="16"/>
      <c r="F25" s="9">
        <v>4</v>
      </c>
      <c r="G25" s="25" t="s">
        <v>36</v>
      </c>
      <c r="H25" s="10">
        <v>0</v>
      </c>
      <c r="I25" s="10">
        <v>0</v>
      </c>
      <c r="J25" s="9">
        <v>4</v>
      </c>
      <c r="K25" s="10">
        <v>0</v>
      </c>
      <c r="L25" s="10">
        <v>0</v>
      </c>
      <c r="N25" s="2"/>
    </row>
    <row r="26" spans="1:14" x14ac:dyDescent="0.25">
      <c r="A26" s="9">
        <v>5</v>
      </c>
      <c r="B26" s="25" t="s">
        <v>37</v>
      </c>
      <c r="C26" s="10">
        <f>C8+C21+C24+C25</f>
        <v>93661.34</v>
      </c>
      <c r="D26" s="10">
        <f>D8+D21+D24+D25</f>
        <v>1336.072866425865</v>
      </c>
      <c r="E26" s="16"/>
      <c r="F26" s="9">
        <v>5</v>
      </c>
      <c r="G26" s="25" t="s">
        <v>37</v>
      </c>
      <c r="H26" s="10">
        <f>H8+H21+H24+H25</f>
        <v>29270.289999999997</v>
      </c>
      <c r="I26" s="10">
        <f>I8+I21+I24+I25+0.01</f>
        <v>1800.2648746937843</v>
      </c>
      <c r="J26" s="9">
        <v>5</v>
      </c>
      <c r="K26" s="10">
        <f>K8+K21+K24+K25</f>
        <v>8622.86</v>
      </c>
      <c r="L26" s="10">
        <f>L8+L21+L24+L25+0.01</f>
        <v>1800.2647079209987</v>
      </c>
      <c r="N26" s="2"/>
    </row>
    <row r="27" spans="1:14" x14ac:dyDescent="0.25">
      <c r="A27" s="9">
        <v>6</v>
      </c>
      <c r="B27" s="25" t="s">
        <v>38</v>
      </c>
      <c r="C27" s="9">
        <v>0</v>
      </c>
      <c r="D27" s="10">
        <v>0</v>
      </c>
      <c r="E27" s="16"/>
      <c r="F27" s="9">
        <v>6</v>
      </c>
      <c r="G27" s="25" t="s">
        <v>38</v>
      </c>
      <c r="H27" s="9">
        <v>0</v>
      </c>
      <c r="I27" s="10">
        <v>0</v>
      </c>
      <c r="J27" s="9">
        <v>6</v>
      </c>
      <c r="K27" s="9">
        <v>0</v>
      </c>
      <c r="L27" s="10">
        <v>0</v>
      </c>
      <c r="N27" s="2"/>
    </row>
    <row r="28" spans="1:14" x14ac:dyDescent="0.25">
      <c r="A28" s="9">
        <v>7</v>
      </c>
      <c r="B28" s="25" t="s">
        <v>39</v>
      </c>
      <c r="C28" s="10">
        <v>0</v>
      </c>
      <c r="D28" s="10">
        <v>0</v>
      </c>
      <c r="E28" s="16"/>
      <c r="F28" s="9">
        <v>7</v>
      </c>
      <c r="G28" s="25" t="s">
        <v>39</v>
      </c>
      <c r="H28" s="10">
        <v>0</v>
      </c>
      <c r="I28" s="10">
        <v>0</v>
      </c>
      <c r="J28" s="10">
        <f>J26*0.027136</f>
        <v>0.13568</v>
      </c>
      <c r="K28" s="10">
        <v>0</v>
      </c>
      <c r="L28" s="10">
        <v>0</v>
      </c>
      <c r="N28" s="2"/>
    </row>
    <row r="29" spans="1:14" x14ac:dyDescent="0.25">
      <c r="A29" s="86" t="s">
        <v>40</v>
      </c>
      <c r="B29" s="25" t="s">
        <v>41</v>
      </c>
      <c r="C29" s="13">
        <f>C28*0.18</f>
        <v>0</v>
      </c>
      <c r="D29" s="13">
        <f>D28*0.18</f>
        <v>0</v>
      </c>
      <c r="E29" s="16"/>
      <c r="F29" s="86" t="s">
        <v>40</v>
      </c>
      <c r="G29" s="25" t="s">
        <v>41</v>
      </c>
      <c r="H29" s="13">
        <f>H28*0.18</f>
        <v>0</v>
      </c>
      <c r="I29" s="13">
        <f>I28*0.18</f>
        <v>0</v>
      </c>
      <c r="J29" s="13">
        <f>J28*0.18</f>
        <v>2.4422399999999997E-2</v>
      </c>
      <c r="K29" s="13">
        <f>K28*0.18</f>
        <v>0</v>
      </c>
      <c r="L29" s="13">
        <f>L28*0.18</f>
        <v>0</v>
      </c>
      <c r="N29" s="2"/>
    </row>
    <row r="30" spans="1:14" x14ac:dyDescent="0.25">
      <c r="A30" s="86" t="s">
        <v>42</v>
      </c>
      <c r="B30" s="25" t="s">
        <v>60</v>
      </c>
      <c r="C30" s="13">
        <f>C28*0.1</f>
        <v>0</v>
      </c>
      <c r="D30" s="13">
        <f>D28*0.1</f>
        <v>0</v>
      </c>
      <c r="E30" s="16"/>
      <c r="F30" s="86" t="s">
        <v>42</v>
      </c>
      <c r="G30" s="25" t="s">
        <v>60</v>
      </c>
      <c r="H30" s="13">
        <f>H28*0.1</f>
        <v>0</v>
      </c>
      <c r="I30" s="13">
        <f>I28*0.1</f>
        <v>0</v>
      </c>
      <c r="J30" s="13">
        <f>J28*0.1</f>
        <v>1.3568E-2</v>
      </c>
      <c r="K30" s="13">
        <f>K28*0.1</f>
        <v>0</v>
      </c>
      <c r="L30" s="13">
        <f>L28*0.1</f>
        <v>0</v>
      </c>
      <c r="N30" s="2"/>
    </row>
    <row r="31" spans="1:14" x14ac:dyDescent="0.25">
      <c r="A31" s="86" t="s">
        <v>44</v>
      </c>
      <c r="B31" s="25" t="s">
        <v>61</v>
      </c>
      <c r="C31" s="13">
        <v>0</v>
      </c>
      <c r="D31" s="13">
        <v>0</v>
      </c>
      <c r="E31" s="16"/>
      <c r="F31" s="86" t="s">
        <v>44</v>
      </c>
      <c r="G31" s="25" t="s">
        <v>61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N31" s="2"/>
    </row>
    <row r="32" spans="1:14" ht="30" x14ac:dyDescent="0.25">
      <c r="A32" s="86" t="s">
        <v>46</v>
      </c>
      <c r="B32" s="25" t="s">
        <v>45</v>
      </c>
      <c r="C32" s="13">
        <f>C28-C29-C30</f>
        <v>0</v>
      </c>
      <c r="D32" s="13">
        <f>D28-D29-D30</f>
        <v>0</v>
      </c>
      <c r="E32" s="16"/>
      <c r="F32" s="86" t="s">
        <v>46</v>
      </c>
      <c r="G32" s="25" t="s">
        <v>45</v>
      </c>
      <c r="H32" s="13">
        <f>H28-H29-H30</f>
        <v>0</v>
      </c>
      <c r="I32" s="13">
        <f>I28-I29-I30</f>
        <v>0</v>
      </c>
      <c r="J32" s="13">
        <f>J28-J29-J30</f>
        <v>9.7689600000000001E-2</v>
      </c>
      <c r="K32" s="13">
        <f>K28-K29-K30</f>
        <v>0</v>
      </c>
      <c r="L32" s="13">
        <f>L28-L29-L30</f>
        <v>0</v>
      </c>
      <c r="N32" s="2"/>
    </row>
    <row r="33" spans="1:14" ht="18" customHeight="1" x14ac:dyDescent="0.25">
      <c r="A33" s="86" t="s">
        <v>62</v>
      </c>
      <c r="B33" s="25" t="s">
        <v>63</v>
      </c>
      <c r="C33" s="13">
        <v>0</v>
      </c>
      <c r="D33" s="10">
        <v>0</v>
      </c>
      <c r="E33" s="16"/>
      <c r="F33" s="86" t="s">
        <v>62</v>
      </c>
      <c r="G33" s="25" t="s">
        <v>63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N33" s="2"/>
    </row>
    <row r="34" spans="1:14" ht="30" x14ac:dyDescent="0.25">
      <c r="A34" s="9">
        <v>8</v>
      </c>
      <c r="B34" s="25" t="s">
        <v>64</v>
      </c>
      <c r="C34" s="10">
        <f>C26+C27+C28</f>
        <v>93661.34</v>
      </c>
      <c r="D34" s="10">
        <f>D26+D27+D28</f>
        <v>1336.072866425865</v>
      </c>
      <c r="E34" s="16"/>
      <c r="F34" s="9">
        <v>8</v>
      </c>
      <c r="G34" s="25" t="s">
        <v>64</v>
      </c>
      <c r="H34" s="10">
        <f>H26+H27+H28</f>
        <v>29270.289999999997</v>
      </c>
      <c r="I34" s="10">
        <f>I26+I27+I28</f>
        <v>1800.2648746937843</v>
      </c>
      <c r="J34" s="9">
        <v>8</v>
      </c>
      <c r="K34" s="10">
        <f>K26+K27+K28</f>
        <v>8622.86</v>
      </c>
      <c r="L34" s="10">
        <f>L26+L27+L28</f>
        <v>1800.2647079209987</v>
      </c>
      <c r="N34" s="2"/>
    </row>
    <row r="35" spans="1:14" ht="28.5" x14ac:dyDescent="0.25">
      <c r="A35" s="12">
        <v>9</v>
      </c>
      <c r="B35" s="15" t="s">
        <v>65</v>
      </c>
      <c r="C35" s="9" t="s">
        <v>109</v>
      </c>
      <c r="D35" s="8">
        <f>D34</f>
        <v>1336.072866425865</v>
      </c>
      <c r="E35" s="16"/>
      <c r="F35" s="12">
        <v>9</v>
      </c>
      <c r="G35" s="15" t="s">
        <v>65</v>
      </c>
      <c r="H35" s="9" t="s">
        <v>109</v>
      </c>
      <c r="I35" s="8">
        <f>I34</f>
        <v>1800.2648746937843</v>
      </c>
      <c r="J35" s="12">
        <v>9</v>
      </c>
      <c r="K35" s="9" t="s">
        <v>109</v>
      </c>
      <c r="L35" s="8">
        <f>L34</f>
        <v>1800.2647079209987</v>
      </c>
      <c r="N35" s="2"/>
    </row>
    <row r="36" spans="1:14" x14ac:dyDescent="0.25">
      <c r="A36" s="24" t="s">
        <v>50</v>
      </c>
      <c r="B36" s="25" t="s">
        <v>51</v>
      </c>
      <c r="C36" s="9" t="s">
        <v>109</v>
      </c>
      <c r="D36" s="10">
        <f>D10</f>
        <v>888.33609098289242</v>
      </c>
      <c r="E36" s="16"/>
      <c r="F36" s="86" t="s">
        <v>50</v>
      </c>
      <c r="G36" s="25" t="s">
        <v>51</v>
      </c>
      <c r="H36" s="9" t="s">
        <v>109</v>
      </c>
      <c r="I36" s="10">
        <f>I10</f>
        <v>1352.5180254345755</v>
      </c>
      <c r="J36" s="86" t="s">
        <v>50</v>
      </c>
      <c r="K36" s="9" t="s">
        <v>109</v>
      </c>
      <c r="L36" s="10">
        <f>L10</f>
        <v>1352.5178504321682</v>
      </c>
      <c r="N36" s="2"/>
    </row>
    <row r="37" spans="1:14" x14ac:dyDescent="0.25">
      <c r="A37" s="86" t="s">
        <v>52</v>
      </c>
      <c r="B37" s="31" t="s">
        <v>53</v>
      </c>
      <c r="C37" s="9" t="s">
        <v>109</v>
      </c>
      <c r="D37" s="10">
        <f>D35-D36</f>
        <v>447.73677544297254</v>
      </c>
      <c r="E37" s="16"/>
      <c r="F37" s="86" t="s">
        <v>52</v>
      </c>
      <c r="G37" s="31" t="s">
        <v>53</v>
      </c>
      <c r="H37" s="9" t="s">
        <v>109</v>
      </c>
      <c r="I37" s="10">
        <f>I35-I36</f>
        <v>447.74684925920883</v>
      </c>
      <c r="J37" s="86" t="s">
        <v>52</v>
      </c>
      <c r="K37" s="9" t="s">
        <v>109</v>
      </c>
      <c r="L37" s="10">
        <f>L35-L36</f>
        <v>447.74685748883053</v>
      </c>
      <c r="N37" s="2"/>
    </row>
    <row r="38" spans="1:14" x14ac:dyDescent="0.25">
      <c r="A38" s="86">
        <v>10</v>
      </c>
      <c r="B38" s="25" t="s">
        <v>54</v>
      </c>
      <c r="C38" s="9" t="s">
        <v>109</v>
      </c>
      <c r="D38" s="10">
        <f>D36/D35%</f>
        <v>66.488596041867439</v>
      </c>
      <c r="E38" s="16"/>
      <c r="F38" s="86">
        <v>10</v>
      </c>
      <c r="G38" s="25" t="s">
        <v>54</v>
      </c>
      <c r="H38" s="9" t="s">
        <v>109</v>
      </c>
      <c r="I38" s="10">
        <f>I36/I35%</f>
        <v>75.128834897955315</v>
      </c>
      <c r="J38" s="86">
        <v>10</v>
      </c>
      <c r="K38" s="9" t="s">
        <v>109</v>
      </c>
      <c r="L38" s="10">
        <f>L36/L35%</f>
        <v>75.128832136808242</v>
      </c>
      <c r="N38" s="2"/>
    </row>
    <row r="39" spans="1:14" ht="26.25" customHeight="1" x14ac:dyDescent="0.25">
      <c r="A39" s="9">
        <v>11</v>
      </c>
      <c r="B39" s="31" t="s">
        <v>55</v>
      </c>
      <c r="C39" s="9" t="s">
        <v>109</v>
      </c>
      <c r="D39" s="10">
        <f>D37/D35%</f>
        <v>33.511403958132568</v>
      </c>
      <c r="E39" s="16"/>
      <c r="F39" s="9">
        <v>11</v>
      </c>
      <c r="G39" s="31" t="s">
        <v>55</v>
      </c>
      <c r="H39" s="9" t="s">
        <v>109</v>
      </c>
      <c r="I39" s="10">
        <f>I37/I35%</f>
        <v>24.871165102044678</v>
      </c>
      <c r="J39" s="9">
        <v>11</v>
      </c>
      <c r="K39" s="9" t="s">
        <v>109</v>
      </c>
      <c r="L39" s="10">
        <f>L37/L35%</f>
        <v>24.871167863191769</v>
      </c>
      <c r="N39" s="2"/>
    </row>
    <row r="40" spans="1:14" ht="30" x14ac:dyDescent="0.25">
      <c r="A40" s="9">
        <v>12</v>
      </c>
      <c r="B40" s="25" t="s">
        <v>56</v>
      </c>
      <c r="C40" s="10">
        <v>70101.97</v>
      </c>
      <c r="D40" s="9" t="s">
        <v>109</v>
      </c>
      <c r="E40" s="16"/>
      <c r="F40" s="9">
        <v>12</v>
      </c>
      <c r="G40" s="25" t="s">
        <v>56</v>
      </c>
      <c r="H40" s="10">
        <v>16258.97</v>
      </c>
      <c r="I40" s="9" t="s">
        <v>109</v>
      </c>
      <c r="J40" s="9">
        <v>12</v>
      </c>
      <c r="K40" s="10">
        <v>4789.8</v>
      </c>
      <c r="L40" s="9" t="s">
        <v>109</v>
      </c>
      <c r="N40" s="2"/>
    </row>
    <row r="41" spans="1:14" x14ac:dyDescent="0.25">
      <c r="A41" s="9">
        <v>13</v>
      </c>
      <c r="B41" s="25" t="s">
        <v>57</v>
      </c>
      <c r="C41" s="10">
        <f>C28/C26%</f>
        <v>0</v>
      </c>
      <c r="D41" s="10">
        <f>D28/D26%</f>
        <v>0</v>
      </c>
      <c r="E41" s="16"/>
      <c r="F41" s="9">
        <v>13</v>
      </c>
      <c r="G41" s="25" t="s">
        <v>57</v>
      </c>
      <c r="H41" s="10">
        <f>H28/H26%</f>
        <v>0</v>
      </c>
      <c r="I41" s="10">
        <f>I28/I26%</f>
        <v>0</v>
      </c>
      <c r="J41" s="9">
        <v>13</v>
      </c>
      <c r="K41" s="10">
        <f>K28/K26%</f>
        <v>0</v>
      </c>
      <c r="L41" s="10">
        <f>L28/L26%</f>
        <v>0</v>
      </c>
      <c r="N41" s="2"/>
    </row>
    <row r="42" spans="1:14" ht="30" customHeight="1" x14ac:dyDescent="0.25">
      <c r="A42" s="16"/>
      <c r="B42" s="16"/>
      <c r="C42" s="21"/>
      <c r="D42" s="16"/>
      <c r="E42" s="16"/>
      <c r="F42" s="16"/>
      <c r="G42" s="16"/>
      <c r="H42" s="21"/>
      <c r="I42" s="16"/>
      <c r="J42" s="16"/>
      <c r="K42" s="16"/>
      <c r="L42" s="16"/>
    </row>
    <row r="43" spans="1:14" ht="15" customHeight="1" x14ac:dyDescent="0.25">
      <c r="A43" s="110" t="s">
        <v>129</v>
      </c>
      <c r="B43" s="110"/>
      <c r="C43" s="16"/>
      <c r="D43" s="16"/>
      <c r="E43" s="16"/>
      <c r="F43" s="110" t="s">
        <v>129</v>
      </c>
      <c r="G43" s="110"/>
      <c r="H43" s="110"/>
      <c r="I43" s="16"/>
      <c r="J43" s="16"/>
      <c r="K43" s="16"/>
      <c r="L43" s="16"/>
    </row>
    <row r="44" spans="1:14" ht="15.75" customHeight="1" x14ac:dyDescent="0.25">
      <c r="A44" s="110"/>
      <c r="B44" s="110"/>
      <c r="C44" s="17"/>
      <c r="D44" s="18"/>
      <c r="E44" s="16"/>
      <c r="F44" s="110"/>
      <c r="G44" s="110"/>
      <c r="H44" s="110"/>
      <c r="I44" s="18"/>
      <c r="J44" s="16"/>
      <c r="K44" s="17"/>
      <c r="L44" s="18"/>
    </row>
    <row r="45" spans="1:14" ht="57" customHeight="1" x14ac:dyDescent="0.25">
      <c r="A45" s="110"/>
      <c r="B45" s="110"/>
      <c r="C45" s="16"/>
      <c r="F45" s="110"/>
      <c r="G45" s="110"/>
      <c r="H45" s="110"/>
      <c r="I45" s="16"/>
    </row>
    <row r="46" spans="1:14" ht="15" customHeight="1" x14ac:dyDescent="0.25">
      <c r="A46" s="110"/>
      <c r="B46" s="110"/>
      <c r="F46" s="110"/>
      <c r="G46" s="110"/>
      <c r="H46" s="110"/>
    </row>
    <row r="47" spans="1:14" ht="15" customHeight="1" x14ac:dyDescent="0.3">
      <c r="A47" s="110"/>
      <c r="B47" s="110"/>
      <c r="D47" s="92" t="s">
        <v>132</v>
      </c>
      <c r="F47" s="110"/>
      <c r="G47" s="110"/>
      <c r="H47" s="110"/>
      <c r="K47" s="113" t="s">
        <v>132</v>
      </c>
      <c r="L47" s="113"/>
    </row>
  </sheetData>
  <mergeCells count="17">
    <mergeCell ref="F43:H47"/>
    <mergeCell ref="K47:L47"/>
    <mergeCell ref="J6:J7"/>
    <mergeCell ref="K6:L6"/>
    <mergeCell ref="H6:I6"/>
    <mergeCell ref="G6:G7"/>
    <mergeCell ref="F6:F7"/>
    <mergeCell ref="A43:B47"/>
    <mergeCell ref="C1:D1"/>
    <mergeCell ref="F3:L3"/>
    <mergeCell ref="F4:L4"/>
    <mergeCell ref="A3:D3"/>
    <mergeCell ref="I1:L1"/>
    <mergeCell ref="A4:D4"/>
    <mergeCell ref="A6:A7"/>
    <mergeCell ref="B6:B7"/>
    <mergeCell ref="C6:D6"/>
  </mergeCells>
  <phoneticPr fontId="18" type="noConversion"/>
  <pageMargins left="0.7" right="0.7" top="0.75" bottom="0.75" header="0.3" footer="0.3"/>
  <pageSetup paperSize="9" scale="68" fitToWidth="0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topLeftCell="A19" zoomScaleNormal="100" zoomScaleSheetLayoutView="100" workbookViewId="0">
      <selection activeCell="B1" sqref="B1"/>
    </sheetView>
  </sheetViews>
  <sheetFormatPr defaultColWidth="8.85546875" defaultRowHeight="15" x14ac:dyDescent="0.25"/>
  <cols>
    <col min="1" max="1" width="8.85546875" style="1"/>
    <col min="2" max="2" width="54.28515625" style="1" customWidth="1"/>
    <col min="3" max="3" width="25.42578125" style="1" customWidth="1"/>
    <col min="4" max="4" width="22.85546875" style="1" customWidth="1"/>
    <col min="5" max="5" width="7" style="1" customWidth="1"/>
    <col min="6" max="6" width="8.85546875" style="1"/>
    <col min="7" max="7" width="45.7109375" style="1" customWidth="1"/>
    <col min="8" max="8" width="19.5703125" style="1" customWidth="1"/>
    <col min="9" max="9" width="17.85546875" style="1" customWidth="1"/>
    <col min="10" max="10" width="0" style="1" hidden="1" customWidth="1"/>
    <col min="11" max="11" width="48.7109375" style="1" hidden="1" customWidth="1"/>
    <col min="12" max="12" width="16.42578125" style="1" customWidth="1"/>
    <col min="13" max="13" width="15.28515625" style="1" customWidth="1"/>
    <col min="14" max="14" width="12.28515625" style="1" customWidth="1"/>
    <col min="15" max="16384" width="8.85546875" style="1"/>
  </cols>
  <sheetData>
    <row r="1" spans="1:15" ht="117.75" customHeight="1" x14ac:dyDescent="0.3">
      <c r="A1" s="65"/>
      <c r="B1" s="65"/>
      <c r="C1" s="99" t="s">
        <v>136</v>
      </c>
      <c r="D1" s="99"/>
      <c r="E1" s="66"/>
      <c r="F1" s="65"/>
      <c r="G1" s="65"/>
      <c r="H1" s="65"/>
      <c r="I1" s="99" t="s">
        <v>135</v>
      </c>
      <c r="J1" s="99"/>
      <c r="K1" s="99"/>
      <c r="L1" s="99"/>
      <c r="M1" s="99"/>
    </row>
    <row r="2" spans="1:15" ht="17.25" customHeight="1" x14ac:dyDescent="0.3">
      <c r="A2" s="65"/>
      <c r="B2" s="65"/>
      <c r="C2" s="66"/>
      <c r="D2" s="66"/>
      <c r="E2" s="66"/>
      <c r="F2" s="65"/>
      <c r="G2" s="65"/>
      <c r="H2" s="65"/>
      <c r="I2" s="66"/>
      <c r="J2" s="66"/>
      <c r="K2" s="66"/>
      <c r="L2" s="66"/>
      <c r="M2" s="66"/>
    </row>
    <row r="3" spans="1:15" ht="18.75" x14ac:dyDescent="0.3">
      <c r="A3" s="100" t="s">
        <v>66</v>
      </c>
      <c r="B3" s="100"/>
      <c r="C3" s="100"/>
      <c r="D3" s="100"/>
      <c r="E3" s="67"/>
      <c r="F3" s="100" t="s">
        <v>66</v>
      </c>
      <c r="G3" s="100"/>
      <c r="H3" s="100"/>
      <c r="I3" s="100"/>
      <c r="J3" s="100"/>
      <c r="K3" s="100"/>
      <c r="L3" s="100"/>
      <c r="M3" s="100"/>
    </row>
    <row r="4" spans="1:15" ht="41.25" customHeight="1" x14ac:dyDescent="0.3">
      <c r="A4" s="106" t="s">
        <v>124</v>
      </c>
      <c r="B4" s="106"/>
      <c r="C4" s="106"/>
      <c r="D4" s="106"/>
      <c r="E4" s="97"/>
      <c r="F4" s="106" t="s">
        <v>124</v>
      </c>
      <c r="G4" s="100"/>
      <c r="H4" s="100"/>
      <c r="I4" s="100"/>
      <c r="J4" s="100"/>
      <c r="K4" s="100"/>
      <c r="L4" s="100"/>
      <c r="M4" s="100"/>
    </row>
    <row r="5" spans="1:15" x14ac:dyDescent="0.25">
      <c r="A5" s="16"/>
      <c r="B5" s="16"/>
      <c r="C5" s="16"/>
      <c r="D5" s="16" t="s">
        <v>119</v>
      </c>
      <c r="E5" s="58"/>
      <c r="F5" s="16"/>
      <c r="G5" s="16"/>
      <c r="H5" s="16"/>
      <c r="I5" s="16"/>
      <c r="J5" s="16"/>
      <c r="K5" s="16"/>
      <c r="L5" s="16"/>
      <c r="M5" s="16" t="s">
        <v>119</v>
      </c>
    </row>
    <row r="6" spans="1:15" ht="23.45" customHeight="1" x14ac:dyDescent="0.25">
      <c r="A6" s="116" t="s">
        <v>1</v>
      </c>
      <c r="B6" s="116" t="s">
        <v>2</v>
      </c>
      <c r="C6" s="111" t="s">
        <v>3</v>
      </c>
      <c r="D6" s="112"/>
      <c r="E6" s="59"/>
      <c r="F6" s="116" t="s">
        <v>1</v>
      </c>
      <c r="G6" s="116" t="s">
        <v>2</v>
      </c>
      <c r="H6" s="114" t="s">
        <v>4</v>
      </c>
      <c r="I6" s="115"/>
      <c r="J6" s="119" t="s">
        <v>1</v>
      </c>
      <c r="K6" s="119" t="s">
        <v>2</v>
      </c>
      <c r="L6" s="114" t="s">
        <v>5</v>
      </c>
      <c r="M6" s="115"/>
    </row>
    <row r="7" spans="1:15" x14ac:dyDescent="0.25">
      <c r="A7" s="117"/>
      <c r="B7" s="117"/>
      <c r="C7" s="9" t="s">
        <v>6</v>
      </c>
      <c r="D7" s="9" t="s">
        <v>7</v>
      </c>
      <c r="E7" s="59"/>
      <c r="F7" s="117"/>
      <c r="G7" s="117"/>
      <c r="H7" s="20" t="s">
        <v>6</v>
      </c>
      <c r="I7" s="19" t="s">
        <v>7</v>
      </c>
      <c r="J7" s="120"/>
      <c r="K7" s="120"/>
      <c r="L7" s="20" t="s">
        <v>6</v>
      </c>
      <c r="M7" s="19" t="s">
        <v>7</v>
      </c>
    </row>
    <row r="8" spans="1:15" x14ac:dyDescent="0.25">
      <c r="A8" s="12">
        <v>1</v>
      </c>
      <c r="B8" s="15" t="s">
        <v>8</v>
      </c>
      <c r="C8" s="10">
        <f>C9+C13+C14+C17</f>
        <v>6092.58</v>
      </c>
      <c r="D8" s="10">
        <f>D9+D13+D14+D17</f>
        <v>86.910253734666796</v>
      </c>
      <c r="E8" s="60"/>
      <c r="F8" s="12">
        <v>1</v>
      </c>
      <c r="G8" s="15" t="s">
        <v>8</v>
      </c>
      <c r="H8" s="10">
        <f>H9+H13+H14+H17</f>
        <v>1413.0700000000002</v>
      </c>
      <c r="I8" s="10">
        <f>I9+I13+I14+I17</f>
        <v>86.910253734666796</v>
      </c>
      <c r="J8" s="12">
        <v>1</v>
      </c>
      <c r="K8" s="15" t="s">
        <v>8</v>
      </c>
      <c r="L8" s="10">
        <f>L9+L13+L14+L17</f>
        <v>416.28</v>
      </c>
      <c r="M8" s="10">
        <f>M9+M13+M14+M17</f>
        <v>86.910253734666796</v>
      </c>
      <c r="O8" s="2"/>
    </row>
    <row r="9" spans="1:15" x14ac:dyDescent="0.25">
      <c r="A9" s="86" t="s">
        <v>9</v>
      </c>
      <c r="B9" s="25" t="s">
        <v>10</v>
      </c>
      <c r="C9" s="10">
        <f>SUM(C10:C12)</f>
        <v>1980.9099999999999</v>
      </c>
      <c r="D9" s="10">
        <f>SUM(D10:D12)</f>
        <v>28.257551107336923</v>
      </c>
      <c r="E9" s="60"/>
      <c r="F9" s="24" t="s">
        <v>9</v>
      </c>
      <c r="G9" s="25" t="s">
        <v>10</v>
      </c>
      <c r="H9" s="10">
        <f>H10+H11+H12</f>
        <v>459.44000000000005</v>
      </c>
      <c r="I9" s="10">
        <f>D9</f>
        <v>28.257551107336923</v>
      </c>
      <c r="J9" s="24" t="s">
        <v>9</v>
      </c>
      <c r="K9" s="25" t="s">
        <v>10</v>
      </c>
      <c r="L9" s="10">
        <f>SUM(L10:L12)</f>
        <v>135.35</v>
      </c>
      <c r="M9" s="10">
        <f>SUM(M10:M12)</f>
        <v>28.257551107336923</v>
      </c>
      <c r="O9" s="2"/>
    </row>
    <row r="10" spans="1:15" x14ac:dyDescent="0.25">
      <c r="A10" s="86" t="s">
        <v>11</v>
      </c>
      <c r="B10" s="25" t="s">
        <v>14</v>
      </c>
      <c r="C10" s="10">
        <v>382.08</v>
      </c>
      <c r="D10" s="10">
        <f>C10/$C$37*1000</f>
        <v>5.450346117234651</v>
      </c>
      <c r="E10" s="60"/>
      <c r="F10" s="24" t="s">
        <v>11</v>
      </c>
      <c r="G10" s="25" t="s">
        <v>14</v>
      </c>
      <c r="H10" s="10">
        <v>88.62</v>
      </c>
      <c r="I10" s="10">
        <f>D10</f>
        <v>5.450346117234651</v>
      </c>
      <c r="J10" s="24" t="s">
        <v>11</v>
      </c>
      <c r="K10" s="25" t="s">
        <v>14</v>
      </c>
      <c r="L10" s="10">
        <v>26.11</v>
      </c>
      <c r="M10" s="10">
        <f>I10</f>
        <v>5.450346117234651</v>
      </c>
      <c r="N10" s="2"/>
      <c r="O10" s="2"/>
    </row>
    <row r="11" spans="1:15" ht="30" x14ac:dyDescent="0.25">
      <c r="A11" s="86" t="s">
        <v>13</v>
      </c>
      <c r="B11" s="25" t="s">
        <v>16</v>
      </c>
      <c r="C11" s="10">
        <v>40.83</v>
      </c>
      <c r="D11" s="10">
        <f t="shared" ref="D11:D23" si="0">C11/$C$37*1000</f>
        <v>0.58243726959456343</v>
      </c>
      <c r="E11" s="60"/>
      <c r="F11" s="24" t="s">
        <v>13</v>
      </c>
      <c r="G11" s="25" t="s">
        <v>16</v>
      </c>
      <c r="H11" s="10">
        <v>9.4700000000000006</v>
      </c>
      <c r="I11" s="10">
        <f>D11</f>
        <v>0.58243726959456343</v>
      </c>
      <c r="J11" s="24" t="s">
        <v>13</v>
      </c>
      <c r="K11" s="25" t="s">
        <v>16</v>
      </c>
      <c r="L11" s="10">
        <v>2.79</v>
      </c>
      <c r="M11" s="10">
        <f>I11</f>
        <v>0.58243726959456343</v>
      </c>
      <c r="N11" s="2"/>
      <c r="O11" s="2"/>
    </row>
    <row r="12" spans="1:15" ht="30" x14ac:dyDescent="0.25">
      <c r="A12" s="86" t="s">
        <v>15</v>
      </c>
      <c r="B12" s="25" t="s">
        <v>18</v>
      </c>
      <c r="C12" s="10">
        <v>1558</v>
      </c>
      <c r="D12" s="10">
        <f t="shared" si="0"/>
        <v>22.22476772050771</v>
      </c>
      <c r="E12" s="60"/>
      <c r="F12" s="24" t="s">
        <v>15</v>
      </c>
      <c r="G12" s="25" t="s">
        <v>18</v>
      </c>
      <c r="H12" s="10">
        <v>361.35</v>
      </c>
      <c r="I12" s="10">
        <f>D12</f>
        <v>22.22476772050771</v>
      </c>
      <c r="J12" s="24" t="s">
        <v>15</v>
      </c>
      <c r="K12" s="25" t="s">
        <v>18</v>
      </c>
      <c r="L12" s="10">
        <v>106.45</v>
      </c>
      <c r="M12" s="10">
        <f>I12</f>
        <v>22.22476772050771</v>
      </c>
      <c r="N12" s="2"/>
      <c r="O12" s="2"/>
    </row>
    <row r="13" spans="1:15" ht="30" x14ac:dyDescent="0.25">
      <c r="A13" s="86" t="s">
        <v>19</v>
      </c>
      <c r="B13" s="25" t="s">
        <v>20</v>
      </c>
      <c r="C13" s="10">
        <v>2170.81</v>
      </c>
      <c r="D13" s="10">
        <f t="shared" si="0"/>
        <v>30.966462140792906</v>
      </c>
      <c r="E13" s="60"/>
      <c r="F13" s="86" t="s">
        <v>19</v>
      </c>
      <c r="G13" s="25" t="s">
        <v>20</v>
      </c>
      <c r="H13" s="10">
        <v>503.48</v>
      </c>
      <c r="I13" s="10">
        <f>D13</f>
        <v>30.966462140792906</v>
      </c>
      <c r="J13" s="86" t="s">
        <v>19</v>
      </c>
      <c r="K13" s="25" t="s">
        <v>20</v>
      </c>
      <c r="L13" s="10">
        <v>148.33000000000001</v>
      </c>
      <c r="M13" s="10">
        <f>I13</f>
        <v>30.966462140792906</v>
      </c>
      <c r="N13" s="2"/>
      <c r="O13" s="2"/>
    </row>
    <row r="14" spans="1:15" x14ac:dyDescent="0.25">
      <c r="A14" s="86" t="s">
        <v>21</v>
      </c>
      <c r="B14" s="25" t="s">
        <v>22</v>
      </c>
      <c r="C14" s="10">
        <f>SUM(C15:C16)</f>
        <v>1230.8799999999999</v>
      </c>
      <c r="D14" s="10">
        <f>SUM(D15:D16)</f>
        <v>17.558422395262216</v>
      </c>
      <c r="E14" s="60"/>
      <c r="F14" s="86" t="s">
        <v>21</v>
      </c>
      <c r="G14" s="25" t="s">
        <v>22</v>
      </c>
      <c r="H14" s="10">
        <f>SUM(H15:H16)</f>
        <v>285.48</v>
      </c>
      <c r="I14" s="10">
        <f>SUM(I15:I16)</f>
        <v>17.558422395262216</v>
      </c>
      <c r="J14" s="86" t="s">
        <v>21</v>
      </c>
      <c r="K14" s="25" t="s">
        <v>22</v>
      </c>
      <c r="L14" s="10">
        <f>SUM(L15:L16)</f>
        <v>84.09</v>
      </c>
      <c r="M14" s="10">
        <f>SUM(M15:M16)</f>
        <v>17.558422395262216</v>
      </c>
      <c r="O14" s="2"/>
    </row>
    <row r="15" spans="1:15" x14ac:dyDescent="0.25">
      <c r="A15" s="86" t="s">
        <v>23</v>
      </c>
      <c r="B15" s="25" t="s">
        <v>24</v>
      </c>
      <c r="C15" s="10">
        <v>891.93</v>
      </c>
      <c r="D15" s="10">
        <f t="shared" si="0"/>
        <v>12.723322896631863</v>
      </c>
      <c r="E15" s="60"/>
      <c r="F15" s="86" t="s">
        <v>23</v>
      </c>
      <c r="G15" s="25" t="s">
        <v>24</v>
      </c>
      <c r="H15" s="10">
        <v>206.87</v>
      </c>
      <c r="I15" s="10">
        <f>D15</f>
        <v>12.723322896631863</v>
      </c>
      <c r="J15" s="86" t="s">
        <v>23</v>
      </c>
      <c r="K15" s="25" t="s">
        <v>24</v>
      </c>
      <c r="L15" s="10">
        <v>60.94</v>
      </c>
      <c r="M15" s="10">
        <f>I15</f>
        <v>12.723322896631863</v>
      </c>
      <c r="O15" s="2"/>
    </row>
    <row r="16" spans="1:15" x14ac:dyDescent="0.25">
      <c r="A16" s="86" t="s">
        <v>25</v>
      </c>
      <c r="B16" s="25" t="s">
        <v>31</v>
      </c>
      <c r="C16" s="10">
        <v>338.95</v>
      </c>
      <c r="D16" s="10">
        <f t="shared" si="0"/>
        <v>4.8350994986303517</v>
      </c>
      <c r="E16" s="60"/>
      <c r="F16" s="86" t="s">
        <v>25</v>
      </c>
      <c r="G16" s="25" t="s">
        <v>31</v>
      </c>
      <c r="H16" s="10">
        <v>78.61</v>
      </c>
      <c r="I16" s="10">
        <f>D16</f>
        <v>4.8350994986303517</v>
      </c>
      <c r="J16" s="86" t="s">
        <v>25</v>
      </c>
      <c r="K16" s="25" t="s">
        <v>31</v>
      </c>
      <c r="L16" s="10">
        <v>23.15</v>
      </c>
      <c r="M16" s="10">
        <f>I16</f>
        <v>4.8350994986303517</v>
      </c>
      <c r="O16" s="2"/>
    </row>
    <row r="17" spans="1:15" x14ac:dyDescent="0.25">
      <c r="A17" s="86" t="s">
        <v>26</v>
      </c>
      <c r="B17" s="25" t="s">
        <v>27</v>
      </c>
      <c r="C17" s="10">
        <f>SUM(C18:C19)</f>
        <v>709.98</v>
      </c>
      <c r="D17" s="10">
        <f>SUM(D18:D19)</f>
        <v>10.127818091274753</v>
      </c>
      <c r="E17" s="60"/>
      <c r="F17" s="86" t="s">
        <v>26</v>
      </c>
      <c r="G17" s="25" t="s">
        <v>27</v>
      </c>
      <c r="H17" s="10">
        <f>SUM(H18:H19)</f>
        <v>164.67000000000002</v>
      </c>
      <c r="I17" s="10">
        <f>SUM(I18:I19)</f>
        <v>10.127818091274753</v>
      </c>
      <c r="J17" s="86" t="s">
        <v>26</v>
      </c>
      <c r="K17" s="25" t="s">
        <v>27</v>
      </c>
      <c r="L17" s="10">
        <f>SUM(L18:L19)</f>
        <v>48.510000000000005</v>
      </c>
      <c r="M17" s="10">
        <f>SUM(M18:M19)</f>
        <v>10.127818091274753</v>
      </c>
      <c r="O17" s="2"/>
    </row>
    <row r="18" spans="1:15" ht="30" x14ac:dyDescent="0.25">
      <c r="A18" s="86" t="s">
        <v>28</v>
      </c>
      <c r="B18" s="31" t="s">
        <v>29</v>
      </c>
      <c r="C18" s="10">
        <v>629.65</v>
      </c>
      <c r="D18" s="10">
        <f t="shared" si="0"/>
        <v>8.9819159147738645</v>
      </c>
      <c r="E18" s="60"/>
      <c r="F18" s="86" t="s">
        <v>28</v>
      </c>
      <c r="G18" s="31" t="s">
        <v>29</v>
      </c>
      <c r="H18" s="10">
        <v>146.03</v>
      </c>
      <c r="I18" s="10">
        <f>D18</f>
        <v>8.9819159147738645</v>
      </c>
      <c r="J18" s="86" t="s">
        <v>28</v>
      </c>
      <c r="K18" s="31" t="s">
        <v>29</v>
      </c>
      <c r="L18" s="10">
        <v>43.02</v>
      </c>
      <c r="M18" s="10">
        <f>I18</f>
        <v>8.9819159147738645</v>
      </c>
      <c r="O18" s="2"/>
    </row>
    <row r="19" spans="1:15" x14ac:dyDescent="0.25">
      <c r="A19" s="86" t="s">
        <v>30</v>
      </c>
      <c r="B19" s="25" t="s">
        <v>59</v>
      </c>
      <c r="C19" s="10">
        <v>80.33</v>
      </c>
      <c r="D19" s="10">
        <f t="shared" si="0"/>
        <v>1.1459021765008885</v>
      </c>
      <c r="E19" s="60"/>
      <c r="F19" s="86" t="s">
        <v>30</v>
      </c>
      <c r="G19" s="25" t="s">
        <v>59</v>
      </c>
      <c r="H19" s="10">
        <v>18.64</v>
      </c>
      <c r="I19" s="10">
        <f>D19</f>
        <v>1.1459021765008885</v>
      </c>
      <c r="J19" s="86" t="s">
        <v>30</v>
      </c>
      <c r="K19" s="25" t="s">
        <v>59</v>
      </c>
      <c r="L19" s="10">
        <v>5.49</v>
      </c>
      <c r="M19" s="10">
        <f>I19</f>
        <v>1.1459021765008885</v>
      </c>
      <c r="O19" s="2"/>
    </row>
    <row r="20" spans="1:15" x14ac:dyDescent="0.25">
      <c r="A20" s="9">
        <v>2</v>
      </c>
      <c r="B20" s="25" t="s">
        <v>32</v>
      </c>
      <c r="C20" s="10">
        <f>SUM(C21:C22)</f>
        <v>215.02</v>
      </c>
      <c r="D20" s="10">
        <f>SUM(D21:D22)</f>
        <v>3.0672461843796972</v>
      </c>
      <c r="E20" s="60"/>
      <c r="F20" s="9">
        <v>2</v>
      </c>
      <c r="G20" s="25" t="s">
        <v>32</v>
      </c>
      <c r="H20" s="10">
        <f>SUM(H21:H22)</f>
        <v>49.86</v>
      </c>
      <c r="I20" s="10">
        <f>SUM(I21:I22)</f>
        <v>3.0672461843796972</v>
      </c>
      <c r="J20" s="9">
        <v>2</v>
      </c>
      <c r="K20" s="25" t="s">
        <v>32</v>
      </c>
      <c r="L20" s="10">
        <f>SUM(L21:L22)</f>
        <v>14.690000000000001</v>
      </c>
      <c r="M20" s="10">
        <f>SUM(M21:M22)</f>
        <v>3.0672461843796972</v>
      </c>
      <c r="O20" s="2"/>
    </row>
    <row r="21" spans="1:15" ht="30" x14ac:dyDescent="0.25">
      <c r="A21" s="86" t="s">
        <v>33</v>
      </c>
      <c r="B21" s="31" t="s">
        <v>29</v>
      </c>
      <c r="C21" s="10">
        <v>182.49</v>
      </c>
      <c r="D21" s="10">
        <f t="shared" si="0"/>
        <v>2.6032078699072225</v>
      </c>
      <c r="E21" s="60"/>
      <c r="F21" s="86" t="s">
        <v>33</v>
      </c>
      <c r="G21" s="31" t="s">
        <v>29</v>
      </c>
      <c r="H21" s="10">
        <v>42.32</v>
      </c>
      <c r="I21" s="10">
        <f>D21</f>
        <v>2.6032078699072225</v>
      </c>
      <c r="J21" s="86" t="s">
        <v>33</v>
      </c>
      <c r="K21" s="31" t="s">
        <v>29</v>
      </c>
      <c r="L21" s="10">
        <v>12.47</v>
      </c>
      <c r="M21" s="10">
        <f>I21</f>
        <v>2.6032078699072225</v>
      </c>
      <c r="O21" s="2"/>
    </row>
    <row r="22" spans="1:15" x14ac:dyDescent="0.25">
      <c r="A22" s="86" t="s">
        <v>34</v>
      </c>
      <c r="B22" s="25" t="s">
        <v>31</v>
      </c>
      <c r="C22" s="10">
        <v>32.53</v>
      </c>
      <c r="D22" s="10">
        <f t="shared" si="0"/>
        <v>0.46403831447247484</v>
      </c>
      <c r="E22" s="60"/>
      <c r="F22" s="86" t="s">
        <v>34</v>
      </c>
      <c r="G22" s="25" t="s">
        <v>59</v>
      </c>
      <c r="H22" s="10">
        <v>7.54</v>
      </c>
      <c r="I22" s="10">
        <f>D22</f>
        <v>0.46403831447247484</v>
      </c>
      <c r="J22" s="86" t="s">
        <v>34</v>
      </c>
      <c r="K22" s="25" t="s">
        <v>59</v>
      </c>
      <c r="L22" s="10">
        <v>2.2200000000000002</v>
      </c>
      <c r="M22" s="10">
        <f>I22</f>
        <v>0.46403831447247484</v>
      </c>
      <c r="O22" s="2"/>
    </row>
    <row r="23" spans="1:15" x14ac:dyDescent="0.25">
      <c r="A23" s="9">
        <v>3</v>
      </c>
      <c r="B23" s="25" t="s">
        <v>35</v>
      </c>
      <c r="C23" s="10">
        <v>0</v>
      </c>
      <c r="D23" s="10">
        <f t="shared" si="0"/>
        <v>0</v>
      </c>
      <c r="E23" s="60"/>
      <c r="F23" s="9">
        <v>3</v>
      </c>
      <c r="G23" s="25" t="s">
        <v>35</v>
      </c>
      <c r="H23" s="10">
        <v>0</v>
      </c>
      <c r="I23" s="10">
        <f>D23</f>
        <v>0</v>
      </c>
      <c r="J23" s="9">
        <v>3</v>
      </c>
      <c r="K23" s="25" t="s">
        <v>35</v>
      </c>
      <c r="L23" s="10">
        <v>0</v>
      </c>
      <c r="M23" s="10">
        <f>I23</f>
        <v>0</v>
      </c>
      <c r="O23" s="2"/>
    </row>
    <row r="24" spans="1:15" x14ac:dyDescent="0.25">
      <c r="A24" s="9">
        <v>4</v>
      </c>
      <c r="B24" s="25" t="s">
        <v>36</v>
      </c>
      <c r="C24" s="10">
        <v>0</v>
      </c>
      <c r="D24" s="9">
        <v>0</v>
      </c>
      <c r="E24" s="59"/>
      <c r="F24" s="9">
        <v>4</v>
      </c>
      <c r="G24" s="25" t="s">
        <v>36</v>
      </c>
      <c r="H24" s="10">
        <v>0</v>
      </c>
      <c r="I24" s="9">
        <v>0</v>
      </c>
      <c r="J24" s="9">
        <v>4</v>
      </c>
      <c r="K24" s="25" t="s">
        <v>36</v>
      </c>
      <c r="L24" s="10">
        <v>0</v>
      </c>
      <c r="M24" s="9">
        <v>0</v>
      </c>
      <c r="O24" s="2"/>
    </row>
    <row r="25" spans="1:15" x14ac:dyDescent="0.25">
      <c r="A25" s="9">
        <v>5</v>
      </c>
      <c r="B25" s="25" t="s">
        <v>37</v>
      </c>
      <c r="C25" s="10">
        <f>C8+C20+C23</f>
        <v>6307.6</v>
      </c>
      <c r="D25" s="10">
        <f>D8+D20+D23</f>
        <v>89.977499919046494</v>
      </c>
      <c r="E25" s="60"/>
      <c r="F25" s="9">
        <v>5</v>
      </c>
      <c r="G25" s="25" t="s">
        <v>37</v>
      </c>
      <c r="H25" s="10">
        <f>H8+H20+H23</f>
        <v>1462.93</v>
      </c>
      <c r="I25" s="10">
        <f>I8+I20+I23</f>
        <v>89.977499919046494</v>
      </c>
      <c r="J25" s="9">
        <v>5</v>
      </c>
      <c r="K25" s="25" t="s">
        <v>37</v>
      </c>
      <c r="L25" s="10">
        <f>L8+L20+L23</f>
        <v>430.96999999999997</v>
      </c>
      <c r="M25" s="10">
        <f>M8+M20+M23</f>
        <v>89.977499919046494</v>
      </c>
      <c r="O25" s="2"/>
    </row>
    <row r="26" spans="1:15" x14ac:dyDescent="0.25">
      <c r="A26" s="9">
        <v>6</v>
      </c>
      <c r="B26" s="25" t="s">
        <v>38</v>
      </c>
      <c r="C26" s="9">
        <v>0</v>
      </c>
      <c r="D26" s="9">
        <v>0</v>
      </c>
      <c r="E26" s="59"/>
      <c r="F26" s="9">
        <v>6</v>
      </c>
      <c r="G26" s="25" t="s">
        <v>38</v>
      </c>
      <c r="H26" s="9">
        <v>0</v>
      </c>
      <c r="I26" s="9">
        <v>0</v>
      </c>
      <c r="J26" s="9">
        <v>6</v>
      </c>
      <c r="K26" s="25" t="s">
        <v>38</v>
      </c>
      <c r="L26" s="9">
        <v>0</v>
      </c>
      <c r="M26" s="9">
        <v>0</v>
      </c>
      <c r="O26" s="2"/>
    </row>
    <row r="27" spans="1:15" x14ac:dyDescent="0.25">
      <c r="A27" s="9">
        <v>7</v>
      </c>
      <c r="B27" s="25" t="s">
        <v>39</v>
      </c>
      <c r="C27" s="10">
        <v>0</v>
      </c>
      <c r="D27" s="10">
        <v>0</v>
      </c>
      <c r="E27" s="61"/>
      <c r="F27" s="9">
        <v>7</v>
      </c>
      <c r="G27" s="25" t="s">
        <v>39</v>
      </c>
      <c r="H27" s="10">
        <v>0</v>
      </c>
      <c r="I27" s="10">
        <v>0</v>
      </c>
      <c r="J27" s="10">
        <f>J25*0.027136</f>
        <v>0.13568</v>
      </c>
      <c r="K27" s="10" t="e">
        <f>K25*0.027136</f>
        <v>#VALUE!</v>
      </c>
      <c r="L27" s="10">
        <v>0</v>
      </c>
      <c r="M27" s="10">
        <v>0</v>
      </c>
      <c r="O27" s="2"/>
    </row>
    <row r="28" spans="1:15" x14ac:dyDescent="0.25">
      <c r="A28" s="86" t="s">
        <v>40</v>
      </c>
      <c r="B28" s="25" t="s">
        <v>41</v>
      </c>
      <c r="C28" s="13">
        <f>C27*0.18</f>
        <v>0</v>
      </c>
      <c r="D28" s="64">
        <f>D27*0.18</f>
        <v>0</v>
      </c>
      <c r="E28" s="62"/>
      <c r="F28" s="86" t="s">
        <v>40</v>
      </c>
      <c r="G28" s="25" t="s">
        <v>41</v>
      </c>
      <c r="H28" s="13">
        <f t="shared" ref="H28:M28" si="1">H27*0.18</f>
        <v>0</v>
      </c>
      <c r="I28" s="13">
        <f t="shared" si="1"/>
        <v>0</v>
      </c>
      <c r="J28" s="13">
        <f t="shared" si="1"/>
        <v>2.4422399999999997E-2</v>
      </c>
      <c r="K28" s="13" t="e">
        <f t="shared" si="1"/>
        <v>#VALUE!</v>
      </c>
      <c r="L28" s="13">
        <f t="shared" si="1"/>
        <v>0</v>
      </c>
      <c r="M28" s="13">
        <f t="shared" si="1"/>
        <v>0</v>
      </c>
      <c r="O28" s="2"/>
    </row>
    <row r="29" spans="1:15" x14ac:dyDescent="0.25">
      <c r="A29" s="86" t="s">
        <v>42</v>
      </c>
      <c r="B29" s="25" t="s">
        <v>67</v>
      </c>
      <c r="C29" s="13">
        <f>C27*0.1</f>
        <v>0</v>
      </c>
      <c r="D29" s="64">
        <f>D27*0.1</f>
        <v>0</v>
      </c>
      <c r="E29" s="62"/>
      <c r="F29" s="86" t="s">
        <v>42</v>
      </c>
      <c r="G29" s="25" t="s">
        <v>67</v>
      </c>
      <c r="H29" s="13">
        <f t="shared" ref="H29:M29" si="2">H27*0.1</f>
        <v>0</v>
      </c>
      <c r="I29" s="13">
        <f t="shared" si="2"/>
        <v>0</v>
      </c>
      <c r="J29" s="13">
        <f t="shared" si="2"/>
        <v>1.3568E-2</v>
      </c>
      <c r="K29" s="13" t="e">
        <f t="shared" si="2"/>
        <v>#VALUE!</v>
      </c>
      <c r="L29" s="13">
        <f t="shared" si="2"/>
        <v>0</v>
      </c>
      <c r="M29" s="13">
        <f t="shared" si="2"/>
        <v>0</v>
      </c>
      <c r="O29" s="2"/>
    </row>
    <row r="30" spans="1:15" x14ac:dyDescent="0.25">
      <c r="A30" s="86" t="s">
        <v>44</v>
      </c>
      <c r="B30" s="25" t="s">
        <v>61</v>
      </c>
      <c r="C30" s="13">
        <v>0</v>
      </c>
      <c r="D30" s="64">
        <v>0</v>
      </c>
      <c r="E30" s="62"/>
      <c r="F30" s="86" t="s">
        <v>44</v>
      </c>
      <c r="G30" s="25" t="s">
        <v>61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O30" s="2"/>
    </row>
    <row r="31" spans="1:15" x14ac:dyDescent="0.25">
      <c r="A31" s="86" t="s">
        <v>46</v>
      </c>
      <c r="B31" s="25" t="s">
        <v>45</v>
      </c>
      <c r="C31" s="13">
        <f>C27-C28-C29</f>
        <v>0</v>
      </c>
      <c r="D31" s="64">
        <f>D27-D28-D29</f>
        <v>0</v>
      </c>
      <c r="E31" s="62"/>
      <c r="F31" s="86" t="s">
        <v>46</v>
      </c>
      <c r="G31" s="25" t="s">
        <v>45</v>
      </c>
      <c r="H31" s="13">
        <f t="shared" ref="H31:M31" si="3">H27-H28-H29</f>
        <v>0</v>
      </c>
      <c r="I31" s="13">
        <f t="shared" si="3"/>
        <v>0</v>
      </c>
      <c r="J31" s="13">
        <f t="shared" si="3"/>
        <v>9.7689600000000001E-2</v>
      </c>
      <c r="K31" s="13" t="e">
        <f t="shared" si="3"/>
        <v>#VALUE!</v>
      </c>
      <c r="L31" s="13">
        <f t="shared" si="3"/>
        <v>0</v>
      </c>
      <c r="M31" s="13">
        <f t="shared" si="3"/>
        <v>0</v>
      </c>
      <c r="O31" s="2"/>
    </row>
    <row r="32" spans="1:15" x14ac:dyDescent="0.25">
      <c r="A32" s="86" t="s">
        <v>62</v>
      </c>
      <c r="B32" s="25" t="s">
        <v>63</v>
      </c>
      <c r="C32" s="9">
        <v>0</v>
      </c>
      <c r="D32" s="9"/>
      <c r="E32" s="59"/>
      <c r="F32" s="86" t="s">
        <v>62</v>
      </c>
      <c r="G32" s="25" t="s">
        <v>63</v>
      </c>
      <c r="H32" s="9">
        <v>0</v>
      </c>
      <c r="I32" s="9">
        <v>0</v>
      </c>
      <c r="J32" s="86" t="s">
        <v>62</v>
      </c>
      <c r="K32" s="25" t="s">
        <v>63</v>
      </c>
      <c r="L32" s="9">
        <v>0</v>
      </c>
      <c r="M32" s="9">
        <v>0</v>
      </c>
      <c r="O32" s="2"/>
    </row>
    <row r="33" spans="1:15" ht="30" x14ac:dyDescent="0.25">
      <c r="A33" s="9">
        <v>8</v>
      </c>
      <c r="B33" s="25" t="s">
        <v>68</v>
      </c>
      <c r="C33" s="10">
        <f>C25+C26+C27</f>
        <v>6307.6</v>
      </c>
      <c r="D33" s="10">
        <f>D25+D26+D27</f>
        <v>89.977499919046494</v>
      </c>
      <c r="E33" s="60"/>
      <c r="F33" s="9">
        <v>8</v>
      </c>
      <c r="G33" s="25" t="s">
        <v>68</v>
      </c>
      <c r="H33" s="10">
        <f>H25+H26+H27</f>
        <v>1462.93</v>
      </c>
      <c r="I33" s="10">
        <f>I25+I26+I27</f>
        <v>89.977499919046494</v>
      </c>
      <c r="J33" s="9">
        <v>8</v>
      </c>
      <c r="K33" s="25" t="s">
        <v>68</v>
      </c>
      <c r="L33" s="10">
        <f>L25+L26+L27</f>
        <v>430.96999999999997</v>
      </c>
      <c r="M33" s="10">
        <f>M25+M26+M27</f>
        <v>89.977499919046494</v>
      </c>
      <c r="O33" s="2"/>
    </row>
    <row r="34" spans="1:15" ht="28.5" x14ac:dyDescent="0.25">
      <c r="A34" s="12">
        <v>9</v>
      </c>
      <c r="B34" s="15" t="s">
        <v>69</v>
      </c>
      <c r="C34" s="9" t="s">
        <v>109</v>
      </c>
      <c r="D34" s="8">
        <f>D33</f>
        <v>89.977499919046494</v>
      </c>
      <c r="E34" s="60"/>
      <c r="F34" s="12">
        <v>9</v>
      </c>
      <c r="G34" s="15" t="s">
        <v>69</v>
      </c>
      <c r="H34" s="9" t="s">
        <v>109</v>
      </c>
      <c r="I34" s="8">
        <f>I33</f>
        <v>89.977499919046494</v>
      </c>
      <c r="J34" s="12">
        <v>9</v>
      </c>
      <c r="K34" s="15" t="s">
        <v>69</v>
      </c>
      <c r="L34" s="12" t="s">
        <v>109</v>
      </c>
      <c r="M34" s="8">
        <f>M33</f>
        <v>89.977499919046494</v>
      </c>
      <c r="O34" s="2"/>
    </row>
    <row r="35" spans="1:15" ht="30" x14ac:dyDescent="0.25">
      <c r="A35" s="9">
        <v>10</v>
      </c>
      <c r="B35" s="25" t="s">
        <v>70</v>
      </c>
      <c r="C35" s="10">
        <f>SUM(C36:C37)</f>
        <v>70101.97</v>
      </c>
      <c r="D35" s="9" t="s">
        <v>109</v>
      </c>
      <c r="E35" s="59"/>
      <c r="F35" s="9">
        <v>10</v>
      </c>
      <c r="G35" s="25" t="s">
        <v>70</v>
      </c>
      <c r="H35" s="10">
        <f>H37</f>
        <v>16258.97</v>
      </c>
      <c r="I35" s="9" t="s">
        <v>109</v>
      </c>
      <c r="J35" s="9">
        <v>10</v>
      </c>
      <c r="K35" s="25" t="s">
        <v>70</v>
      </c>
      <c r="L35" s="10">
        <f>L37</f>
        <v>4789.8</v>
      </c>
      <c r="M35" s="9" t="s">
        <v>109</v>
      </c>
      <c r="O35" s="2"/>
    </row>
    <row r="36" spans="1:15" x14ac:dyDescent="0.25">
      <c r="A36" s="86" t="s">
        <v>71</v>
      </c>
      <c r="B36" s="31" t="s">
        <v>72</v>
      </c>
      <c r="C36" s="9">
        <v>0</v>
      </c>
      <c r="D36" s="9" t="s">
        <v>109</v>
      </c>
      <c r="E36" s="59"/>
      <c r="F36" s="86" t="s">
        <v>71</v>
      </c>
      <c r="G36" s="31" t="s">
        <v>72</v>
      </c>
      <c r="H36" s="9" t="s">
        <v>109</v>
      </c>
      <c r="I36" s="9" t="s">
        <v>109</v>
      </c>
      <c r="J36" s="86" t="s">
        <v>71</v>
      </c>
      <c r="K36" s="31" t="s">
        <v>72</v>
      </c>
      <c r="L36" s="9" t="s">
        <v>109</v>
      </c>
      <c r="M36" s="9" t="s">
        <v>109</v>
      </c>
      <c r="O36" s="2"/>
    </row>
    <row r="37" spans="1:15" x14ac:dyDescent="0.25">
      <c r="A37" s="86" t="s">
        <v>73</v>
      </c>
      <c r="B37" s="31" t="s">
        <v>74</v>
      </c>
      <c r="C37" s="11">
        <v>70101.97</v>
      </c>
      <c r="D37" s="14" t="s">
        <v>109</v>
      </c>
      <c r="E37" s="76"/>
      <c r="F37" s="86" t="s">
        <v>73</v>
      </c>
      <c r="G37" s="31" t="s">
        <v>74</v>
      </c>
      <c r="H37" s="11">
        <v>16258.97</v>
      </c>
      <c r="I37" s="9" t="s">
        <v>109</v>
      </c>
      <c r="J37" s="86" t="s">
        <v>73</v>
      </c>
      <c r="K37" s="31" t="s">
        <v>74</v>
      </c>
      <c r="L37" s="11">
        <v>4789.8</v>
      </c>
      <c r="M37" s="14" t="s">
        <v>109</v>
      </c>
      <c r="O37" s="2"/>
    </row>
    <row r="38" spans="1:15" x14ac:dyDescent="0.25">
      <c r="A38" s="14">
        <v>11</v>
      </c>
      <c r="B38" s="25" t="s">
        <v>57</v>
      </c>
      <c r="C38" s="11">
        <f>C27/C25*100</f>
        <v>0</v>
      </c>
      <c r="D38" s="11">
        <f>D27/D25*100</f>
        <v>0</v>
      </c>
      <c r="E38" s="77"/>
      <c r="F38" s="14">
        <v>11</v>
      </c>
      <c r="G38" s="25" t="s">
        <v>57</v>
      </c>
      <c r="H38" s="11">
        <f>H27/H25*100</f>
        <v>0</v>
      </c>
      <c r="I38" s="11">
        <f>I27/I25*100</f>
        <v>0</v>
      </c>
      <c r="J38" s="11">
        <v>11</v>
      </c>
      <c r="K38" s="87" t="s">
        <v>57</v>
      </c>
      <c r="L38" s="11">
        <f>L27/L25*100</f>
        <v>0</v>
      </c>
      <c r="M38" s="11">
        <f>M27/M25*100</f>
        <v>0</v>
      </c>
      <c r="O38" s="2"/>
    </row>
    <row r="39" spans="1:15" ht="18" customHeight="1" x14ac:dyDescent="0.25">
      <c r="A39" s="16"/>
      <c r="B39" s="16"/>
      <c r="C39" s="21"/>
      <c r="D39" s="16"/>
      <c r="E39" s="16"/>
      <c r="F39" s="16"/>
      <c r="G39" s="16"/>
      <c r="H39" s="21"/>
      <c r="I39" s="16"/>
      <c r="J39" s="16"/>
      <c r="K39" s="16"/>
      <c r="L39" s="16"/>
      <c r="M39" s="16"/>
    </row>
    <row r="40" spans="1:15" ht="15.75" customHeight="1" x14ac:dyDescent="0.25">
      <c r="A40" s="110" t="s">
        <v>129</v>
      </c>
      <c r="B40" s="110"/>
      <c r="C40" s="16"/>
      <c r="D40" s="16"/>
      <c r="E40" s="16"/>
      <c r="F40" s="110" t="s">
        <v>129</v>
      </c>
      <c r="G40" s="110"/>
      <c r="H40" s="110"/>
      <c r="I40" s="16"/>
      <c r="J40" s="16"/>
      <c r="K40" s="32"/>
      <c r="L40" s="17"/>
      <c r="M40" s="18"/>
    </row>
    <row r="41" spans="1:15" ht="15.75" customHeight="1" x14ac:dyDescent="0.25">
      <c r="A41" s="110"/>
      <c r="B41" s="110"/>
      <c r="C41" s="17"/>
      <c r="D41" s="18"/>
      <c r="E41" s="18"/>
      <c r="F41" s="110"/>
      <c r="G41" s="110"/>
      <c r="H41" s="110"/>
      <c r="I41" s="18"/>
      <c r="J41" s="16"/>
      <c r="K41" s="16"/>
      <c r="L41" s="16"/>
      <c r="M41" s="16"/>
    </row>
    <row r="42" spans="1:15" ht="43.5" customHeight="1" x14ac:dyDescent="0.3">
      <c r="A42" s="110"/>
      <c r="B42" s="110"/>
      <c r="C42" s="16"/>
      <c r="E42" s="71"/>
      <c r="F42" s="110"/>
      <c r="G42" s="110"/>
      <c r="H42" s="110"/>
      <c r="I42" s="16"/>
      <c r="J42" s="16"/>
      <c r="K42" s="16"/>
    </row>
    <row r="43" spans="1:15" ht="15" customHeight="1" x14ac:dyDescent="0.25">
      <c r="A43" s="110"/>
      <c r="B43" s="110"/>
      <c r="C43" s="16"/>
      <c r="D43" s="16"/>
      <c r="E43" s="16"/>
      <c r="F43" s="110"/>
      <c r="G43" s="110"/>
      <c r="H43" s="110"/>
      <c r="I43" s="16"/>
      <c r="J43" s="16"/>
      <c r="K43" s="16"/>
      <c r="L43" s="16"/>
      <c r="M43" s="16"/>
    </row>
    <row r="44" spans="1:15" ht="18.75" x14ac:dyDescent="0.3">
      <c r="A44" s="110"/>
      <c r="B44" s="110"/>
      <c r="C44" s="16"/>
      <c r="D44" s="93" t="s">
        <v>132</v>
      </c>
      <c r="E44" s="16"/>
      <c r="F44" s="110"/>
      <c r="G44" s="110"/>
      <c r="H44" s="110"/>
      <c r="I44" s="16"/>
      <c r="J44" s="16"/>
      <c r="K44" s="16"/>
      <c r="L44" s="118" t="s">
        <v>132</v>
      </c>
      <c r="M44" s="118"/>
    </row>
    <row r="45" spans="1:1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</sheetData>
  <mergeCells count="18">
    <mergeCell ref="F40:H44"/>
    <mergeCell ref="A4:D4"/>
    <mergeCell ref="L44:M44"/>
    <mergeCell ref="H6:I6"/>
    <mergeCell ref="J6:J7"/>
    <mergeCell ref="K6:K7"/>
    <mergeCell ref="L6:M6"/>
    <mergeCell ref="A40:B44"/>
    <mergeCell ref="C1:D1"/>
    <mergeCell ref="I1:M1"/>
    <mergeCell ref="A3:D3"/>
    <mergeCell ref="A6:A7"/>
    <mergeCell ref="B6:B7"/>
    <mergeCell ref="C6:D6"/>
    <mergeCell ref="F6:F7"/>
    <mergeCell ref="F3:M3"/>
    <mergeCell ref="F4:M4"/>
    <mergeCell ref="G6:G7"/>
  </mergeCells>
  <phoneticPr fontId="18" type="noConversion"/>
  <pageMargins left="0.39370078740157483" right="0.39370078740157483" top="0.74803149606299213" bottom="0.74803149606299213" header="0.31496062992125984" footer="0.31496062992125984"/>
  <pageSetup paperSize="9" scale="77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Normal="100" workbookViewId="0">
      <selection activeCell="D2" sqref="D1:D65536"/>
    </sheetView>
  </sheetViews>
  <sheetFormatPr defaultColWidth="8.85546875" defaultRowHeight="15" x14ac:dyDescent="0.25"/>
  <cols>
    <col min="1" max="1" width="6.85546875" style="1" customWidth="1"/>
    <col min="2" max="2" width="56.28515625" style="1" customWidth="1"/>
    <col min="3" max="3" width="23.7109375" style="1" customWidth="1"/>
    <col min="4" max="4" width="23.85546875" style="1" customWidth="1"/>
    <col min="5" max="5" width="3.85546875" style="63" customWidth="1"/>
    <col min="6" max="6" width="8.85546875" style="1"/>
    <col min="7" max="7" width="46.85546875" style="1" customWidth="1"/>
    <col min="8" max="8" width="17.28515625" style="1" customWidth="1"/>
    <col min="9" max="9" width="16" style="1" customWidth="1"/>
    <col min="10" max="10" width="0" style="1" hidden="1" customWidth="1"/>
    <col min="11" max="11" width="17.7109375" style="1" customWidth="1"/>
    <col min="12" max="12" width="14.42578125" style="1" customWidth="1"/>
    <col min="13" max="16384" width="8.85546875" style="1"/>
  </cols>
  <sheetData>
    <row r="1" spans="1:14" ht="129.75" customHeight="1" x14ac:dyDescent="0.3">
      <c r="A1" s="65"/>
      <c r="B1" s="65"/>
      <c r="C1" s="99" t="s">
        <v>137</v>
      </c>
      <c r="D1" s="99"/>
      <c r="E1" s="78"/>
      <c r="F1" s="74"/>
      <c r="G1" s="74"/>
      <c r="H1" s="74"/>
      <c r="I1" s="99" t="s">
        <v>138</v>
      </c>
      <c r="J1" s="99"/>
      <c r="K1" s="99"/>
      <c r="L1" s="99"/>
    </row>
    <row r="2" spans="1:14" ht="14.25" customHeight="1" x14ac:dyDescent="0.3">
      <c r="A2" s="65"/>
      <c r="B2" s="65"/>
      <c r="C2" s="66"/>
      <c r="D2" s="66"/>
      <c r="E2" s="78"/>
      <c r="F2" s="74"/>
      <c r="G2" s="74"/>
      <c r="H2" s="74"/>
      <c r="I2" s="66"/>
      <c r="J2" s="66"/>
      <c r="K2" s="66"/>
      <c r="L2" s="66"/>
    </row>
    <row r="3" spans="1:14" ht="18.75" x14ac:dyDescent="0.3">
      <c r="A3" s="100" t="s">
        <v>75</v>
      </c>
      <c r="B3" s="100"/>
      <c r="C3" s="100"/>
      <c r="D3" s="100"/>
      <c r="E3" s="79"/>
      <c r="F3" s="100" t="s">
        <v>75</v>
      </c>
      <c r="G3" s="100"/>
      <c r="H3" s="100"/>
      <c r="I3" s="100"/>
      <c r="J3" s="100"/>
      <c r="K3" s="100"/>
      <c r="L3" s="100"/>
    </row>
    <row r="4" spans="1:14" s="98" customFormat="1" ht="39" customHeight="1" x14ac:dyDescent="0.3">
      <c r="A4" s="106" t="s">
        <v>124</v>
      </c>
      <c r="B4" s="100"/>
      <c r="C4" s="100"/>
      <c r="D4" s="100"/>
      <c r="E4" s="79"/>
      <c r="F4" s="106" t="s">
        <v>125</v>
      </c>
      <c r="G4" s="100"/>
      <c r="H4" s="100"/>
      <c r="I4" s="100"/>
      <c r="J4" s="100"/>
      <c r="K4" s="100"/>
      <c r="L4" s="100"/>
    </row>
    <row r="5" spans="1:14" x14ac:dyDescent="0.25">
      <c r="A5" s="16"/>
      <c r="B5" s="16"/>
      <c r="C5" s="16"/>
      <c r="D5" s="16" t="s">
        <v>119</v>
      </c>
      <c r="E5" s="58"/>
      <c r="F5" s="16"/>
      <c r="G5" s="16"/>
      <c r="H5" s="16"/>
      <c r="I5" s="16"/>
      <c r="J5" s="16"/>
      <c r="K5" s="16"/>
      <c r="L5" s="16" t="s">
        <v>119</v>
      </c>
    </row>
    <row r="6" spans="1:14" ht="26.25" customHeight="1" x14ac:dyDescent="0.25">
      <c r="A6" s="116" t="s">
        <v>1</v>
      </c>
      <c r="B6" s="116" t="s">
        <v>2</v>
      </c>
      <c r="C6" s="101" t="s">
        <v>3</v>
      </c>
      <c r="D6" s="101"/>
      <c r="E6" s="59"/>
      <c r="F6" s="101" t="s">
        <v>1</v>
      </c>
      <c r="G6" s="101" t="s">
        <v>2</v>
      </c>
      <c r="H6" s="121" t="s">
        <v>4</v>
      </c>
      <c r="I6" s="122"/>
      <c r="J6" s="123" t="s">
        <v>1</v>
      </c>
      <c r="K6" s="121" t="s">
        <v>5</v>
      </c>
      <c r="L6" s="122"/>
    </row>
    <row r="7" spans="1:14" x14ac:dyDescent="0.25">
      <c r="A7" s="117"/>
      <c r="B7" s="117"/>
      <c r="C7" s="9" t="s">
        <v>6</v>
      </c>
      <c r="D7" s="9" t="s">
        <v>7</v>
      </c>
      <c r="E7" s="59"/>
      <c r="F7" s="101"/>
      <c r="G7" s="101"/>
      <c r="H7" s="20" t="s">
        <v>6</v>
      </c>
      <c r="I7" s="20" t="s">
        <v>7</v>
      </c>
      <c r="J7" s="124"/>
      <c r="K7" s="20" t="s">
        <v>6</v>
      </c>
      <c r="L7" s="20" t="s">
        <v>7</v>
      </c>
    </row>
    <row r="8" spans="1:14" x14ac:dyDescent="0.25">
      <c r="A8" s="12">
        <v>1</v>
      </c>
      <c r="B8" s="15" t="s">
        <v>8</v>
      </c>
      <c r="C8" s="10">
        <f>C9+C10+C11+C14</f>
        <v>447.2</v>
      </c>
      <c r="D8" s="10">
        <f>D9+D10+D11+D14</f>
        <v>6.3792786422407239</v>
      </c>
      <c r="E8" s="60"/>
      <c r="F8" s="12">
        <v>1</v>
      </c>
      <c r="G8" s="15" t="s">
        <v>8</v>
      </c>
      <c r="H8" s="10">
        <f>H9+H10+H11+H14</f>
        <v>103.72000000000001</v>
      </c>
      <c r="I8" s="10">
        <f>I9+I10+I11+I14</f>
        <v>6.3792786422407239</v>
      </c>
      <c r="J8" s="12">
        <v>1</v>
      </c>
      <c r="K8" s="10">
        <f>K9+K10+K11+K14</f>
        <v>30.549999999999997</v>
      </c>
      <c r="L8" s="10">
        <f>L9+L10+L11+L14</f>
        <v>6.3792786422407239</v>
      </c>
      <c r="N8" s="2"/>
    </row>
    <row r="9" spans="1:14" x14ac:dyDescent="0.25">
      <c r="A9" s="86" t="s">
        <v>9</v>
      </c>
      <c r="B9" s="25" t="s">
        <v>10</v>
      </c>
      <c r="C9" s="10">
        <v>20.14</v>
      </c>
      <c r="D9" s="10">
        <f>C9/$C$31*1000</f>
        <v>0.28729577785046556</v>
      </c>
      <c r="E9" s="60"/>
      <c r="F9" s="86" t="s">
        <v>9</v>
      </c>
      <c r="G9" s="25" t="s">
        <v>10</v>
      </c>
      <c r="H9" s="10">
        <v>4.67</v>
      </c>
      <c r="I9" s="10">
        <f>D9</f>
        <v>0.28729577785046556</v>
      </c>
      <c r="J9" s="86" t="s">
        <v>9</v>
      </c>
      <c r="K9" s="10">
        <v>1.38</v>
      </c>
      <c r="L9" s="10">
        <f>I9</f>
        <v>0.28729577785046556</v>
      </c>
      <c r="N9" s="2"/>
    </row>
    <row r="10" spans="1:14" ht="30" x14ac:dyDescent="0.25">
      <c r="A10" s="86" t="s">
        <v>19</v>
      </c>
      <c r="B10" s="25" t="s">
        <v>20</v>
      </c>
      <c r="C10" s="10">
        <v>371.3</v>
      </c>
      <c r="D10" s="10">
        <f>C10/$C$31*1000</f>
        <v>5.2965701249194561</v>
      </c>
      <c r="E10" s="60"/>
      <c r="F10" s="86" t="s">
        <v>19</v>
      </c>
      <c r="G10" s="25" t="s">
        <v>20</v>
      </c>
      <c r="H10" s="10">
        <v>86.12</v>
      </c>
      <c r="I10" s="10">
        <f>D10</f>
        <v>5.2965701249194561</v>
      </c>
      <c r="J10" s="86" t="s">
        <v>19</v>
      </c>
      <c r="K10" s="10">
        <v>25.36</v>
      </c>
      <c r="L10" s="10">
        <f>I10</f>
        <v>5.2965701249194561</v>
      </c>
      <c r="N10" s="2"/>
    </row>
    <row r="11" spans="1:14" x14ac:dyDescent="0.25">
      <c r="A11" s="86" t="s">
        <v>21</v>
      </c>
      <c r="B11" s="25" t="s">
        <v>22</v>
      </c>
      <c r="C11" s="10">
        <f>SUM(C12:C13)</f>
        <v>3.65</v>
      </c>
      <c r="D11" s="10">
        <f>SUM(D12:D13)</f>
        <v>5.206701038501485E-2</v>
      </c>
      <c r="E11" s="60"/>
      <c r="F11" s="86" t="s">
        <v>21</v>
      </c>
      <c r="G11" s="25" t="s">
        <v>22</v>
      </c>
      <c r="H11" s="10">
        <f>SUM(H12:H13)</f>
        <v>0.84</v>
      </c>
      <c r="I11" s="10">
        <f>D11</f>
        <v>5.206701038501485E-2</v>
      </c>
      <c r="J11" s="86" t="s">
        <v>21</v>
      </c>
      <c r="K11" s="10">
        <f>SUM(K12:K13)</f>
        <v>0.25</v>
      </c>
      <c r="L11" s="10">
        <f>SUM(L12:L13)</f>
        <v>5.206701038501485E-2</v>
      </c>
      <c r="N11" s="2"/>
    </row>
    <row r="12" spans="1:14" x14ac:dyDescent="0.25">
      <c r="A12" s="86" t="s">
        <v>23</v>
      </c>
      <c r="B12" s="25" t="s">
        <v>24</v>
      </c>
      <c r="C12" s="10">
        <v>0.94</v>
      </c>
      <c r="D12" s="10">
        <f>C12/$C$31*1000</f>
        <v>1.3409038290935331E-2</v>
      </c>
      <c r="E12" s="60"/>
      <c r="F12" s="86" t="s">
        <v>23</v>
      </c>
      <c r="G12" s="25" t="s">
        <v>24</v>
      </c>
      <c r="H12" s="10">
        <v>0.22</v>
      </c>
      <c r="I12" s="10">
        <f>D12</f>
        <v>1.3409038290935331E-2</v>
      </c>
      <c r="J12" s="86" t="s">
        <v>23</v>
      </c>
      <c r="K12" s="10">
        <v>0.06</v>
      </c>
      <c r="L12" s="10">
        <f>I12</f>
        <v>1.3409038290935331E-2</v>
      </c>
      <c r="N12" s="2"/>
    </row>
    <row r="13" spans="1:14" x14ac:dyDescent="0.25">
      <c r="A13" s="86" t="s">
        <v>25</v>
      </c>
      <c r="B13" s="25" t="s">
        <v>31</v>
      </c>
      <c r="C13" s="10">
        <v>2.71</v>
      </c>
      <c r="D13" s="10">
        <f>C13/$C$31*1000</f>
        <v>3.8657972094079521E-2</v>
      </c>
      <c r="E13" s="60"/>
      <c r="F13" s="86" t="s">
        <v>25</v>
      </c>
      <c r="G13" s="25" t="s">
        <v>31</v>
      </c>
      <c r="H13" s="10">
        <v>0.62</v>
      </c>
      <c r="I13" s="10">
        <f>D13</f>
        <v>3.8657972094079521E-2</v>
      </c>
      <c r="J13" s="86" t="s">
        <v>25</v>
      </c>
      <c r="K13" s="10">
        <v>0.19</v>
      </c>
      <c r="L13" s="10">
        <f>I13</f>
        <v>3.8657972094079521E-2</v>
      </c>
      <c r="N13" s="2"/>
    </row>
    <row r="14" spans="1:14" x14ac:dyDescent="0.25">
      <c r="A14" s="86" t="s">
        <v>26</v>
      </c>
      <c r="B14" s="25" t="s">
        <v>27</v>
      </c>
      <c r="C14" s="10">
        <f>C15+C16</f>
        <v>52.11</v>
      </c>
      <c r="D14" s="10">
        <f>D15+D16</f>
        <v>0.74334572908578744</v>
      </c>
      <c r="E14" s="60"/>
      <c r="F14" s="86" t="s">
        <v>26</v>
      </c>
      <c r="G14" s="25" t="s">
        <v>27</v>
      </c>
      <c r="H14" s="10">
        <f>H15+H16</f>
        <v>12.09</v>
      </c>
      <c r="I14" s="10">
        <f>I15+I16</f>
        <v>0.74334572908578744</v>
      </c>
      <c r="J14" s="86" t="s">
        <v>26</v>
      </c>
      <c r="K14" s="10">
        <f>K15+K16</f>
        <v>3.56</v>
      </c>
      <c r="L14" s="10">
        <f>L15+L16</f>
        <v>0.74334572908578744</v>
      </c>
      <c r="N14" s="2"/>
    </row>
    <row r="15" spans="1:14" ht="30" x14ac:dyDescent="0.25">
      <c r="A15" s="86" t="s">
        <v>28</v>
      </c>
      <c r="B15" s="31" t="s">
        <v>29</v>
      </c>
      <c r="C15" s="10">
        <v>46.21</v>
      </c>
      <c r="D15" s="10">
        <f>C15/$C$31*1000</f>
        <v>0.65918261640864018</v>
      </c>
      <c r="E15" s="60"/>
      <c r="F15" s="86" t="s">
        <v>28</v>
      </c>
      <c r="G15" s="31" t="s">
        <v>29</v>
      </c>
      <c r="H15" s="10">
        <v>10.72</v>
      </c>
      <c r="I15" s="10">
        <f>D15</f>
        <v>0.65918261640864018</v>
      </c>
      <c r="J15" s="86" t="s">
        <v>28</v>
      </c>
      <c r="K15" s="10">
        <v>3.16</v>
      </c>
      <c r="L15" s="10">
        <f>I15</f>
        <v>0.65918261640864018</v>
      </c>
      <c r="N15" s="2"/>
    </row>
    <row r="16" spans="1:14" x14ac:dyDescent="0.25">
      <c r="A16" s="86" t="s">
        <v>30</v>
      </c>
      <c r="B16" s="25" t="s">
        <v>59</v>
      </c>
      <c r="C16" s="10">
        <v>5.9</v>
      </c>
      <c r="D16" s="10">
        <f>C16/$C$31*1000</f>
        <v>8.4163112677147309E-2</v>
      </c>
      <c r="E16" s="60"/>
      <c r="F16" s="86" t="s">
        <v>30</v>
      </c>
      <c r="G16" s="25" t="s">
        <v>59</v>
      </c>
      <c r="H16" s="10">
        <v>1.37</v>
      </c>
      <c r="I16" s="10">
        <f>D16</f>
        <v>8.4163112677147309E-2</v>
      </c>
      <c r="J16" s="86" t="s">
        <v>30</v>
      </c>
      <c r="K16" s="10">
        <v>0.4</v>
      </c>
      <c r="L16" s="10">
        <f>I16</f>
        <v>8.4163112677147309E-2</v>
      </c>
      <c r="N16" s="2"/>
    </row>
    <row r="17" spans="1:14" x14ac:dyDescent="0.25">
      <c r="A17" s="9">
        <v>2</v>
      </c>
      <c r="B17" s="25" t="s">
        <v>32</v>
      </c>
      <c r="C17" s="10">
        <f>SUM(C18:C19)</f>
        <v>15.790000000000001</v>
      </c>
      <c r="D17" s="10">
        <f>SUM(D18:D19)</f>
        <v>0.22524331341900949</v>
      </c>
      <c r="E17" s="60"/>
      <c r="F17" s="9">
        <v>2</v>
      </c>
      <c r="G17" s="25" t="s">
        <v>32</v>
      </c>
      <c r="H17" s="10">
        <f>SUM(H18:H19)</f>
        <v>3.66</v>
      </c>
      <c r="I17" s="10">
        <f>SUM(I18:I19)</f>
        <v>0.22524331341900949</v>
      </c>
      <c r="J17" s="9">
        <v>2</v>
      </c>
      <c r="K17" s="10">
        <f>SUM(K18:K19)</f>
        <v>1.08</v>
      </c>
      <c r="L17" s="10">
        <f>SUM(L18:L19)</f>
        <v>0.22524331341900949</v>
      </c>
      <c r="N17" s="2"/>
    </row>
    <row r="18" spans="1:14" ht="30" x14ac:dyDescent="0.25">
      <c r="A18" s="86" t="s">
        <v>33</v>
      </c>
      <c r="B18" s="31" t="s">
        <v>29</v>
      </c>
      <c r="C18" s="10">
        <v>13.4</v>
      </c>
      <c r="D18" s="10">
        <f>C18/$C$31*1000</f>
        <v>0.1911501203175888</v>
      </c>
      <c r="E18" s="60"/>
      <c r="F18" s="86" t="s">
        <v>33</v>
      </c>
      <c r="G18" s="31" t="s">
        <v>29</v>
      </c>
      <c r="H18" s="10">
        <v>3.11</v>
      </c>
      <c r="I18" s="10">
        <f>D18</f>
        <v>0.1911501203175888</v>
      </c>
      <c r="J18" s="86" t="s">
        <v>33</v>
      </c>
      <c r="K18" s="10">
        <v>0.92</v>
      </c>
      <c r="L18" s="10">
        <f>I18</f>
        <v>0.1911501203175888</v>
      </c>
      <c r="N18" s="2"/>
    </row>
    <row r="19" spans="1:14" x14ac:dyDescent="0.25">
      <c r="A19" s="86" t="s">
        <v>34</v>
      </c>
      <c r="B19" s="25" t="s">
        <v>59</v>
      </c>
      <c r="C19" s="10">
        <v>2.39</v>
      </c>
      <c r="D19" s="10">
        <f>C19/$C$31*1000</f>
        <v>3.4093193101420692E-2</v>
      </c>
      <c r="E19" s="60"/>
      <c r="F19" s="86" t="s">
        <v>34</v>
      </c>
      <c r="G19" s="25" t="s">
        <v>59</v>
      </c>
      <c r="H19" s="10">
        <v>0.55000000000000004</v>
      </c>
      <c r="I19" s="10">
        <f>D19</f>
        <v>3.4093193101420692E-2</v>
      </c>
      <c r="J19" s="86" t="s">
        <v>34</v>
      </c>
      <c r="K19" s="10">
        <v>0.16</v>
      </c>
      <c r="L19" s="10">
        <f>I19</f>
        <v>3.4093193101420692E-2</v>
      </c>
      <c r="N19" s="2"/>
    </row>
    <row r="20" spans="1:14" x14ac:dyDescent="0.25">
      <c r="A20" s="9">
        <v>3</v>
      </c>
      <c r="B20" s="25" t="s">
        <v>35</v>
      </c>
      <c r="C20" s="10">
        <v>0</v>
      </c>
      <c r="D20" s="10">
        <f>C20/$C$31*1000</f>
        <v>0</v>
      </c>
      <c r="E20" s="60"/>
      <c r="F20" s="9">
        <v>3</v>
      </c>
      <c r="G20" s="25" t="s">
        <v>35</v>
      </c>
      <c r="H20" s="10">
        <v>0</v>
      </c>
      <c r="I20" s="10">
        <f>D20</f>
        <v>0</v>
      </c>
      <c r="J20" s="9">
        <v>3</v>
      </c>
      <c r="K20" s="10">
        <v>0</v>
      </c>
      <c r="L20" s="10">
        <f>I20</f>
        <v>0</v>
      </c>
      <c r="N20" s="2"/>
    </row>
    <row r="21" spans="1:14" x14ac:dyDescent="0.25">
      <c r="A21" s="9">
        <v>4</v>
      </c>
      <c r="B21" s="25" t="s">
        <v>36</v>
      </c>
      <c r="C21" s="10">
        <v>0</v>
      </c>
      <c r="D21" s="10">
        <v>0</v>
      </c>
      <c r="E21" s="60"/>
      <c r="F21" s="9">
        <v>4</v>
      </c>
      <c r="G21" s="25" t="s">
        <v>36</v>
      </c>
      <c r="H21" s="10">
        <v>0</v>
      </c>
      <c r="I21" s="10">
        <v>0</v>
      </c>
      <c r="J21" s="9">
        <v>4</v>
      </c>
      <c r="K21" s="10">
        <v>0</v>
      </c>
      <c r="L21" s="10">
        <v>0</v>
      </c>
      <c r="N21" s="2"/>
    </row>
    <row r="22" spans="1:14" x14ac:dyDescent="0.25">
      <c r="A22" s="9">
        <v>5</v>
      </c>
      <c r="B22" s="25" t="s">
        <v>37</v>
      </c>
      <c r="C22" s="10">
        <f>C8+C17+C20</f>
        <v>462.99</v>
      </c>
      <c r="D22" s="10">
        <f>D8+D17+D20</f>
        <v>6.6045219556597337</v>
      </c>
      <c r="E22" s="60"/>
      <c r="F22" s="9">
        <v>5</v>
      </c>
      <c r="G22" s="25" t="s">
        <v>37</v>
      </c>
      <c r="H22" s="10">
        <f>H8+H17+H20</f>
        <v>107.38000000000001</v>
      </c>
      <c r="I22" s="10">
        <f>I8+I17+I20</f>
        <v>6.6045219556597337</v>
      </c>
      <c r="J22" s="9">
        <v>5</v>
      </c>
      <c r="K22" s="10">
        <f>K8+K17+K20</f>
        <v>31.629999999999995</v>
      </c>
      <c r="L22" s="10">
        <f>L8+L17+L20</f>
        <v>6.6045219556597337</v>
      </c>
      <c r="N22" s="2"/>
    </row>
    <row r="23" spans="1:14" x14ac:dyDescent="0.25">
      <c r="A23" s="9">
        <v>6</v>
      </c>
      <c r="B23" s="25" t="s">
        <v>38</v>
      </c>
      <c r="C23" s="9">
        <v>0</v>
      </c>
      <c r="D23" s="9">
        <v>0</v>
      </c>
      <c r="E23" s="59"/>
      <c r="F23" s="9">
        <v>6</v>
      </c>
      <c r="G23" s="25" t="s">
        <v>38</v>
      </c>
      <c r="H23" s="9">
        <v>0</v>
      </c>
      <c r="I23" s="9">
        <v>0</v>
      </c>
      <c r="J23" s="9">
        <v>6</v>
      </c>
      <c r="K23" s="10">
        <v>0</v>
      </c>
      <c r="L23" s="10">
        <v>0</v>
      </c>
      <c r="N23" s="2"/>
    </row>
    <row r="24" spans="1:14" x14ac:dyDescent="0.25">
      <c r="A24" s="9">
        <v>7</v>
      </c>
      <c r="B24" s="25" t="s">
        <v>39</v>
      </c>
      <c r="C24" s="10">
        <v>0</v>
      </c>
      <c r="D24" s="10">
        <v>0</v>
      </c>
      <c r="E24" s="61"/>
      <c r="F24" s="9">
        <v>7</v>
      </c>
      <c r="G24" s="25" t="s">
        <v>39</v>
      </c>
      <c r="H24" s="10">
        <v>0</v>
      </c>
      <c r="I24" s="10">
        <v>0</v>
      </c>
      <c r="J24" s="10">
        <f>J22*0.027136</f>
        <v>0.13568</v>
      </c>
      <c r="K24" s="10">
        <v>0</v>
      </c>
      <c r="L24" s="10">
        <v>0</v>
      </c>
      <c r="N24" s="2"/>
    </row>
    <row r="25" spans="1:14" x14ac:dyDescent="0.25">
      <c r="A25" s="86" t="s">
        <v>40</v>
      </c>
      <c r="B25" s="25" t="s">
        <v>41</v>
      </c>
      <c r="C25" s="64">
        <f>C24*0.18</f>
        <v>0</v>
      </c>
      <c r="D25" s="64">
        <f>D24*0.18</f>
        <v>0</v>
      </c>
      <c r="E25" s="62"/>
      <c r="F25" s="86" t="s">
        <v>40</v>
      </c>
      <c r="G25" s="25" t="s">
        <v>41</v>
      </c>
      <c r="H25" s="13">
        <f>H24*0.18</f>
        <v>0</v>
      </c>
      <c r="I25" s="13">
        <f>I24*0.18</f>
        <v>0</v>
      </c>
      <c r="J25" s="13">
        <f>J24*0.18</f>
        <v>2.4422399999999997E-2</v>
      </c>
      <c r="K25" s="13">
        <f>K24*0.18</f>
        <v>0</v>
      </c>
      <c r="L25" s="13">
        <f>L24*0.18</f>
        <v>0</v>
      </c>
      <c r="N25" s="2"/>
    </row>
    <row r="26" spans="1:14" x14ac:dyDescent="0.25">
      <c r="A26" s="86" t="s">
        <v>42</v>
      </c>
      <c r="B26" s="25" t="s">
        <v>43</v>
      </c>
      <c r="C26" s="64">
        <f>C24*0.1</f>
        <v>0</v>
      </c>
      <c r="D26" s="64">
        <f>D24*0.1</f>
        <v>0</v>
      </c>
      <c r="E26" s="62"/>
      <c r="F26" s="86" t="s">
        <v>42</v>
      </c>
      <c r="G26" s="25" t="s">
        <v>43</v>
      </c>
      <c r="H26" s="13">
        <f>H24*0.1</f>
        <v>0</v>
      </c>
      <c r="I26" s="13">
        <f>I24*0.1</f>
        <v>0</v>
      </c>
      <c r="J26" s="13">
        <f>J24*0.1</f>
        <v>1.3568E-2</v>
      </c>
      <c r="K26" s="13">
        <f>K24*0.1</f>
        <v>0</v>
      </c>
      <c r="L26" s="13">
        <f>L24*0.1</f>
        <v>0</v>
      </c>
      <c r="N26" s="2"/>
    </row>
    <row r="27" spans="1:14" x14ac:dyDescent="0.25">
      <c r="A27" s="86" t="s">
        <v>44</v>
      </c>
      <c r="B27" s="25" t="s">
        <v>45</v>
      </c>
      <c r="C27" s="10">
        <f>C24-C25-C26</f>
        <v>0</v>
      </c>
      <c r="D27" s="10">
        <f>D24-D25-D26</f>
        <v>0</v>
      </c>
      <c r="E27" s="60"/>
      <c r="F27" s="86" t="s">
        <v>44</v>
      </c>
      <c r="G27" s="25" t="s">
        <v>45</v>
      </c>
      <c r="H27" s="10">
        <f>H24-H25-H26</f>
        <v>0</v>
      </c>
      <c r="I27" s="10">
        <f>I24-I25-I26</f>
        <v>0</v>
      </c>
      <c r="J27" s="10">
        <f>J24-J25-J26</f>
        <v>9.7689600000000001E-2</v>
      </c>
      <c r="K27" s="10">
        <f>K24-K25-K26</f>
        <v>0</v>
      </c>
      <c r="L27" s="10">
        <f>L24-L25-L26</f>
        <v>0</v>
      </c>
      <c r="N27" s="2"/>
    </row>
    <row r="28" spans="1:14" ht="30" x14ac:dyDescent="0.25">
      <c r="A28" s="86" t="s">
        <v>46</v>
      </c>
      <c r="B28" s="25" t="s">
        <v>47</v>
      </c>
      <c r="C28" s="9">
        <v>0</v>
      </c>
      <c r="D28" s="9">
        <v>0</v>
      </c>
      <c r="E28" s="59"/>
      <c r="F28" s="86" t="s">
        <v>46</v>
      </c>
      <c r="G28" s="25" t="s">
        <v>47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N28" s="2"/>
    </row>
    <row r="29" spans="1:14" ht="30" x14ac:dyDescent="0.25">
      <c r="A29" s="9">
        <v>8</v>
      </c>
      <c r="B29" s="25" t="s">
        <v>76</v>
      </c>
      <c r="C29" s="10">
        <f>C22+C23+C24</f>
        <v>462.99</v>
      </c>
      <c r="D29" s="10">
        <f>D22+D23+D24</f>
        <v>6.6045219556597337</v>
      </c>
      <c r="E29" s="60"/>
      <c r="F29" s="9">
        <v>8</v>
      </c>
      <c r="G29" s="25" t="s">
        <v>76</v>
      </c>
      <c r="H29" s="10">
        <f>H22+H23+H24</f>
        <v>107.38000000000001</v>
      </c>
      <c r="I29" s="10">
        <f>I22+I23+I24</f>
        <v>6.6045219556597337</v>
      </c>
      <c r="J29" s="10">
        <f>J22+J23+J24</f>
        <v>11.135680000000001</v>
      </c>
      <c r="K29" s="10">
        <f>K22+K23+K24</f>
        <v>31.629999999999995</v>
      </c>
      <c r="L29" s="10">
        <f>L22+L23+L24</f>
        <v>6.6045219556597337</v>
      </c>
      <c r="N29" s="2"/>
    </row>
    <row r="30" spans="1:14" ht="28.5" x14ac:dyDescent="0.25">
      <c r="A30" s="12">
        <v>9</v>
      </c>
      <c r="B30" s="15" t="s">
        <v>77</v>
      </c>
      <c r="C30" s="9" t="s">
        <v>109</v>
      </c>
      <c r="D30" s="8">
        <f>D29</f>
        <v>6.6045219556597337</v>
      </c>
      <c r="E30" s="60"/>
      <c r="F30" s="12">
        <v>9</v>
      </c>
      <c r="G30" s="15" t="s">
        <v>77</v>
      </c>
      <c r="H30" s="12" t="s">
        <v>109</v>
      </c>
      <c r="I30" s="8">
        <f>I29</f>
        <v>6.6045219556597337</v>
      </c>
      <c r="J30" s="12">
        <v>9</v>
      </c>
      <c r="K30" s="8" t="s">
        <v>109</v>
      </c>
      <c r="L30" s="8">
        <f>L29</f>
        <v>6.6045219556597337</v>
      </c>
      <c r="N30" s="2"/>
    </row>
    <row r="31" spans="1:14" ht="30" x14ac:dyDescent="0.25">
      <c r="A31" s="9">
        <v>10</v>
      </c>
      <c r="B31" s="25" t="s">
        <v>56</v>
      </c>
      <c r="C31" s="10">
        <v>70101.97</v>
      </c>
      <c r="D31" s="9" t="s">
        <v>109</v>
      </c>
      <c r="E31" s="59"/>
      <c r="F31" s="9">
        <v>10</v>
      </c>
      <c r="G31" s="25" t="s">
        <v>56</v>
      </c>
      <c r="H31" s="10">
        <v>16258.97</v>
      </c>
      <c r="I31" s="9" t="s">
        <v>109</v>
      </c>
      <c r="J31" s="9">
        <v>10</v>
      </c>
      <c r="K31" s="10">
        <v>4789.8</v>
      </c>
      <c r="L31" s="10" t="s">
        <v>109</v>
      </c>
      <c r="N31" s="2"/>
    </row>
    <row r="32" spans="1:14" x14ac:dyDescent="0.25">
      <c r="A32" s="14">
        <v>11</v>
      </c>
      <c r="B32" s="25" t="s">
        <v>57</v>
      </c>
      <c r="C32" s="10">
        <f>C24/C22*100</f>
        <v>0</v>
      </c>
      <c r="D32" s="10">
        <f>D24/D22*100</f>
        <v>0</v>
      </c>
      <c r="E32" s="60"/>
      <c r="F32" s="14">
        <v>11</v>
      </c>
      <c r="G32" s="25" t="s">
        <v>57</v>
      </c>
      <c r="H32" s="10">
        <f>H24/H22*100</f>
        <v>0</v>
      </c>
      <c r="I32" s="10">
        <f>I24/I22*100</f>
        <v>0</v>
      </c>
      <c r="J32" s="10">
        <f>J24/J22*100</f>
        <v>2.7136</v>
      </c>
      <c r="K32" s="10">
        <f>K24/K22*100</f>
        <v>0</v>
      </c>
      <c r="L32" s="10">
        <f>L24/L22*100</f>
        <v>0</v>
      </c>
      <c r="N32" s="2"/>
    </row>
    <row r="33" spans="1:12" ht="24" customHeight="1" x14ac:dyDescent="0.25">
      <c r="A33" s="16"/>
      <c r="B33" s="16"/>
      <c r="C33" s="21"/>
      <c r="D33" s="16"/>
      <c r="E33" s="58"/>
      <c r="F33" s="16"/>
      <c r="G33" s="16"/>
      <c r="H33" s="21"/>
      <c r="I33" s="16"/>
      <c r="J33" s="16"/>
      <c r="K33" s="16"/>
      <c r="L33" s="16"/>
    </row>
    <row r="34" spans="1:12" ht="30" customHeight="1" x14ac:dyDescent="0.25">
      <c r="A34" s="110" t="s">
        <v>129</v>
      </c>
      <c r="B34" s="110"/>
      <c r="C34" s="16"/>
      <c r="D34" s="16"/>
      <c r="E34" s="58"/>
      <c r="F34" s="110" t="s">
        <v>129</v>
      </c>
      <c r="G34" s="110"/>
      <c r="H34" s="110"/>
      <c r="I34" s="16"/>
      <c r="J34" s="16"/>
      <c r="K34" s="16"/>
      <c r="L34" s="16"/>
    </row>
    <row r="35" spans="1:12" ht="22.5" customHeight="1" x14ac:dyDescent="0.25">
      <c r="A35" s="110"/>
      <c r="B35" s="110"/>
      <c r="C35" s="17"/>
      <c r="D35" s="18"/>
      <c r="E35" s="18"/>
      <c r="F35" s="110"/>
      <c r="G35" s="110"/>
      <c r="H35" s="110"/>
      <c r="I35" s="18"/>
      <c r="J35" s="16"/>
      <c r="K35" s="16"/>
      <c r="L35" s="16"/>
    </row>
    <row r="36" spans="1:12" ht="26.25" customHeight="1" x14ac:dyDescent="0.25">
      <c r="A36" s="110"/>
      <c r="B36" s="110"/>
      <c r="C36" s="16"/>
      <c r="E36" s="58"/>
      <c r="F36" s="110"/>
      <c r="G36" s="110"/>
      <c r="H36" s="110"/>
      <c r="I36" s="16"/>
      <c r="J36" s="16"/>
    </row>
    <row r="37" spans="1:12" ht="23.25" customHeight="1" x14ac:dyDescent="0.25">
      <c r="A37" s="110"/>
      <c r="B37" s="110"/>
      <c r="F37" s="110"/>
      <c r="G37" s="110"/>
      <c r="H37" s="110"/>
    </row>
    <row r="38" spans="1:12" ht="23.25" customHeight="1" x14ac:dyDescent="0.3">
      <c r="A38" s="110"/>
      <c r="B38" s="110"/>
      <c r="D38" s="92" t="s">
        <v>132</v>
      </c>
      <c r="F38" s="110"/>
      <c r="G38" s="110"/>
      <c r="H38" s="110"/>
      <c r="K38" s="113" t="s">
        <v>132</v>
      </c>
      <c r="L38" s="113"/>
    </row>
  </sheetData>
  <mergeCells count="17">
    <mergeCell ref="A34:B38"/>
    <mergeCell ref="F34:H38"/>
    <mergeCell ref="K38:L38"/>
    <mergeCell ref="C1:D1"/>
    <mergeCell ref="I1:L1"/>
    <mergeCell ref="J6:J7"/>
    <mergeCell ref="K6:L6"/>
    <mergeCell ref="A3:D3"/>
    <mergeCell ref="A4:D4"/>
    <mergeCell ref="F3:L3"/>
    <mergeCell ref="F4:L4"/>
    <mergeCell ref="A6:A7"/>
    <mergeCell ref="H6:I6"/>
    <mergeCell ref="B6:B7"/>
    <mergeCell ref="C6:D6"/>
    <mergeCell ref="F6:F7"/>
    <mergeCell ref="G6:G7"/>
  </mergeCells>
  <phoneticPr fontId="18" type="noConversion"/>
  <pageMargins left="0.39370078740157483" right="0.39370078740157483" top="0.74803149606299213" bottom="0.74803149606299213" header="0.31496062992125984" footer="0.31496062992125984"/>
  <pageSetup paperSize="9" scale="78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topLeftCell="A21" zoomScaleNormal="100" workbookViewId="0">
      <selection activeCell="F37" sqref="F1:F65536"/>
    </sheetView>
  </sheetViews>
  <sheetFormatPr defaultColWidth="8.85546875" defaultRowHeight="15.75" x14ac:dyDescent="0.25"/>
  <cols>
    <col min="1" max="1" width="8.85546875" style="6" customWidth="1"/>
    <col min="2" max="2" width="54.85546875" style="3" customWidth="1"/>
    <col min="3" max="3" width="24.85546875" style="7" customWidth="1"/>
    <col min="4" max="4" width="22.7109375" style="3" customWidth="1"/>
    <col min="5" max="5" width="17.5703125" style="3" customWidth="1"/>
    <col min="6" max="6" width="8.85546875" style="3" customWidth="1"/>
    <col min="7" max="7" width="6" style="4" customWidth="1"/>
    <col min="8" max="8" width="68.85546875" style="4" customWidth="1"/>
    <col min="9" max="9" width="22.7109375" style="3" customWidth="1"/>
    <col min="10" max="10" width="0" style="3" hidden="1" customWidth="1"/>
    <col min="11" max="11" width="5.28515625" style="3" hidden="1" customWidth="1"/>
    <col min="12" max="12" width="66.28515625" style="3" hidden="1" customWidth="1"/>
    <col min="13" max="13" width="22.5703125" style="3" customWidth="1"/>
    <col min="14" max="247" width="8.85546875" style="3" customWidth="1"/>
    <col min="248" max="248" width="46.7109375" style="3" customWidth="1"/>
    <col min="249" max="249" width="13.42578125" style="3" customWidth="1"/>
    <col min="250" max="250" width="13.28515625" style="3" customWidth="1"/>
    <col min="251" max="252" width="15.85546875" style="3" customWidth="1"/>
    <col min="253" max="16384" width="8.85546875" style="3"/>
  </cols>
  <sheetData>
    <row r="1" spans="1:13" ht="116.25" customHeight="1" x14ac:dyDescent="0.3">
      <c r="A1" s="80"/>
      <c r="B1" s="80"/>
      <c r="C1" s="80"/>
      <c r="D1" s="99" t="s">
        <v>139</v>
      </c>
      <c r="E1" s="99"/>
      <c r="F1" s="81"/>
      <c r="G1" s="80"/>
      <c r="H1" s="80"/>
      <c r="I1" s="134" t="s">
        <v>140</v>
      </c>
      <c r="J1" s="134"/>
      <c r="K1" s="134"/>
      <c r="L1" s="134"/>
      <c r="M1" s="134"/>
    </row>
    <row r="2" spans="1:13" ht="17.25" customHeight="1" x14ac:dyDescent="0.3">
      <c r="A2" s="56"/>
      <c r="B2" s="56"/>
      <c r="C2" s="56"/>
      <c r="D2" s="56"/>
      <c r="E2" s="56"/>
      <c r="F2" s="81"/>
      <c r="G2" s="56"/>
      <c r="H2" s="56"/>
      <c r="I2" s="56"/>
      <c r="J2" s="56"/>
      <c r="K2" s="56"/>
      <c r="L2" s="56"/>
      <c r="M2" s="56"/>
    </row>
    <row r="3" spans="1:13" ht="53.45" customHeight="1" x14ac:dyDescent="0.3">
      <c r="A3" s="125" t="s">
        <v>128</v>
      </c>
      <c r="B3" s="125"/>
      <c r="C3" s="125"/>
      <c r="D3" s="125"/>
      <c r="E3" s="125"/>
      <c r="F3" s="81"/>
      <c r="G3" s="125" t="s">
        <v>126</v>
      </c>
      <c r="H3" s="125"/>
      <c r="I3" s="125"/>
      <c r="J3" s="125"/>
      <c r="K3" s="125"/>
      <c r="L3" s="125"/>
      <c r="M3" s="125"/>
    </row>
    <row r="4" spans="1:13" ht="20.25" customHeight="1" thickBot="1" x14ac:dyDescent="0.3">
      <c r="A4" s="17"/>
      <c r="B4" s="34"/>
      <c r="C4" s="34"/>
      <c r="F4" s="55"/>
      <c r="G4" s="55"/>
      <c r="H4" s="55"/>
    </row>
    <row r="5" spans="1:13" ht="33.75" customHeight="1" x14ac:dyDescent="0.25">
      <c r="A5" s="126" t="s">
        <v>78</v>
      </c>
      <c r="B5" s="126" t="s">
        <v>79</v>
      </c>
      <c r="C5" s="130" t="s">
        <v>127</v>
      </c>
      <c r="D5" s="131"/>
      <c r="E5" s="132" t="s">
        <v>115</v>
      </c>
      <c r="F5" s="33"/>
      <c r="G5" s="126" t="s">
        <v>78</v>
      </c>
      <c r="H5" s="126" t="s">
        <v>79</v>
      </c>
      <c r="I5" s="130" t="s">
        <v>118</v>
      </c>
      <c r="J5" s="33"/>
      <c r="K5" s="126" t="s">
        <v>78</v>
      </c>
      <c r="L5" s="135" t="s">
        <v>79</v>
      </c>
      <c r="M5" s="130" t="s">
        <v>116</v>
      </c>
    </row>
    <row r="6" spans="1:13" ht="93" customHeight="1" x14ac:dyDescent="0.25">
      <c r="A6" s="127"/>
      <c r="B6" s="127"/>
      <c r="C6" s="130" t="s">
        <v>80</v>
      </c>
      <c r="D6" s="35" t="s">
        <v>81</v>
      </c>
      <c r="E6" s="132"/>
      <c r="F6" s="33"/>
      <c r="G6" s="127"/>
      <c r="H6" s="127"/>
      <c r="I6" s="130"/>
      <c r="J6" s="33"/>
      <c r="K6" s="127"/>
      <c r="L6" s="133"/>
      <c r="M6" s="130"/>
    </row>
    <row r="7" spans="1:13" ht="15.6" hidden="1" customHeight="1" x14ac:dyDescent="0.25">
      <c r="A7" s="127"/>
      <c r="B7" s="127"/>
      <c r="C7" s="130"/>
      <c r="D7" s="35"/>
      <c r="E7" s="36"/>
      <c r="F7" s="33"/>
      <c r="G7" s="127"/>
      <c r="H7" s="133"/>
      <c r="I7" s="36"/>
      <c r="J7" s="33"/>
      <c r="K7" s="127"/>
      <c r="L7" s="133"/>
      <c r="M7" s="36"/>
    </row>
    <row r="8" spans="1:13" ht="15.6" hidden="1" customHeight="1" x14ac:dyDescent="0.25">
      <c r="A8" s="127"/>
      <c r="B8" s="127"/>
      <c r="C8" s="130"/>
      <c r="D8" s="35"/>
      <c r="E8" s="36"/>
      <c r="F8" s="33"/>
      <c r="G8" s="127"/>
      <c r="H8" s="133"/>
      <c r="I8" s="36"/>
      <c r="J8" s="33"/>
      <c r="K8" s="127"/>
      <c r="L8" s="133"/>
      <c r="M8" s="36"/>
    </row>
    <row r="9" spans="1:13" ht="18.75" x14ac:dyDescent="0.25">
      <c r="A9" s="128"/>
      <c r="B9" s="129"/>
      <c r="C9" s="37" t="s">
        <v>7</v>
      </c>
      <c r="D9" s="38" t="s">
        <v>82</v>
      </c>
      <c r="E9" s="39" t="s">
        <v>83</v>
      </c>
      <c r="F9" s="33"/>
      <c r="G9" s="128"/>
      <c r="H9" s="129"/>
      <c r="I9" s="39" t="s">
        <v>83</v>
      </c>
      <c r="J9" s="33"/>
      <c r="K9" s="128"/>
      <c r="L9" s="129"/>
      <c r="M9" s="39" t="s">
        <v>83</v>
      </c>
    </row>
    <row r="10" spans="1:13" x14ac:dyDescent="0.25">
      <c r="A10" s="40">
        <v>1</v>
      </c>
      <c r="B10" s="41">
        <v>2</v>
      </c>
      <c r="C10" s="37">
        <v>3</v>
      </c>
      <c r="D10" s="42">
        <v>4</v>
      </c>
      <c r="E10" s="43">
        <v>5</v>
      </c>
      <c r="F10" s="33"/>
      <c r="G10" s="40">
        <v>1</v>
      </c>
      <c r="H10" s="41">
        <v>2</v>
      </c>
      <c r="I10" s="43">
        <v>3</v>
      </c>
      <c r="J10" s="33"/>
      <c r="K10" s="40">
        <v>1</v>
      </c>
      <c r="L10" s="41">
        <v>2</v>
      </c>
      <c r="M10" s="43">
        <v>3</v>
      </c>
    </row>
    <row r="11" spans="1:13" ht="49.15" customHeight="1" x14ac:dyDescent="0.25">
      <c r="A11" s="84">
        <v>1</v>
      </c>
      <c r="B11" s="88" t="s">
        <v>84</v>
      </c>
      <c r="C11" s="57">
        <v>1432.65</v>
      </c>
      <c r="D11" s="82">
        <v>208.68</v>
      </c>
      <c r="E11" s="57">
        <v>75.92</v>
      </c>
      <c r="F11" s="33"/>
      <c r="G11" s="84">
        <v>1</v>
      </c>
      <c r="H11" s="88" t="s">
        <v>84</v>
      </c>
      <c r="I11" s="57">
        <v>100.53</v>
      </c>
      <c r="J11" s="83"/>
      <c r="K11" s="84">
        <v>1</v>
      </c>
      <c r="L11" s="88" t="s">
        <v>84</v>
      </c>
      <c r="M11" s="57">
        <v>100.53</v>
      </c>
    </row>
    <row r="12" spans="1:13" ht="20.45" customHeight="1" x14ac:dyDescent="0.25">
      <c r="A12" s="40" t="s">
        <v>9</v>
      </c>
      <c r="B12" s="44" t="s">
        <v>85</v>
      </c>
      <c r="C12" s="28">
        <v>888.34</v>
      </c>
      <c r="D12" s="45">
        <v>129.4</v>
      </c>
      <c r="E12" s="28">
        <v>47.07</v>
      </c>
      <c r="F12" s="33"/>
      <c r="G12" s="40" t="s">
        <v>9</v>
      </c>
      <c r="H12" s="44" t="s">
        <v>85</v>
      </c>
      <c r="I12" s="28">
        <v>71.680000000000007</v>
      </c>
      <c r="J12" s="33"/>
      <c r="K12" s="40" t="s">
        <v>9</v>
      </c>
      <c r="L12" s="44" t="s">
        <v>85</v>
      </c>
      <c r="M12" s="28">
        <v>71.680000000000007</v>
      </c>
    </row>
    <row r="13" spans="1:13" ht="32.450000000000003" customHeight="1" x14ac:dyDescent="0.25">
      <c r="A13" s="40">
        <v>2</v>
      </c>
      <c r="B13" s="44" t="s">
        <v>86</v>
      </c>
      <c r="C13" s="89">
        <f>C14+C15</f>
        <v>6.43</v>
      </c>
      <c r="D13" s="90">
        <f>D14+D15</f>
        <v>0.87</v>
      </c>
      <c r="E13" s="89">
        <f>E14+E15</f>
        <v>2.0100000000000002</v>
      </c>
      <c r="F13" s="33"/>
      <c r="G13" s="40">
        <v>2</v>
      </c>
      <c r="H13" s="44" t="s">
        <v>86</v>
      </c>
      <c r="I13" s="28">
        <f>SUM(I14:I15)</f>
        <v>0</v>
      </c>
      <c r="J13" s="33"/>
      <c r="K13" s="40">
        <v>2</v>
      </c>
      <c r="L13" s="44" t="s">
        <v>86</v>
      </c>
      <c r="M13" s="28">
        <f>SUM(M14:M15)</f>
        <v>0</v>
      </c>
    </row>
    <row r="14" spans="1:13" ht="33" customHeight="1" x14ac:dyDescent="0.25">
      <c r="A14" s="40" t="s">
        <v>87</v>
      </c>
      <c r="B14" s="44" t="s">
        <v>29</v>
      </c>
      <c r="C14" s="28">
        <f>4.38+0.96+0.01</f>
        <v>5.35</v>
      </c>
      <c r="D14" s="45">
        <f>0.58+0.13</f>
        <v>0.71</v>
      </c>
      <c r="E14" s="28">
        <f>1.6+0.35</f>
        <v>1.9500000000000002</v>
      </c>
      <c r="F14" s="33"/>
      <c r="G14" s="40" t="s">
        <v>87</v>
      </c>
      <c r="H14" s="44" t="s">
        <v>29</v>
      </c>
      <c r="I14" s="28">
        <v>0</v>
      </c>
      <c r="J14" s="33"/>
      <c r="K14" s="40" t="s">
        <v>87</v>
      </c>
      <c r="L14" s="44" t="s">
        <v>29</v>
      </c>
      <c r="M14" s="28">
        <v>0</v>
      </c>
    </row>
    <row r="15" spans="1:13" ht="21" customHeight="1" x14ac:dyDescent="0.25">
      <c r="A15" s="40" t="s">
        <v>88</v>
      </c>
      <c r="B15" s="46" t="s">
        <v>89</v>
      </c>
      <c r="C15" s="28">
        <v>1.08</v>
      </c>
      <c r="D15" s="45">
        <v>0.16</v>
      </c>
      <c r="E15" s="28">
        <v>0.06</v>
      </c>
      <c r="F15" s="33"/>
      <c r="G15" s="40" t="s">
        <v>88</v>
      </c>
      <c r="H15" s="46" t="s">
        <v>89</v>
      </c>
      <c r="I15" s="28">
        <v>0</v>
      </c>
      <c r="J15" s="33"/>
      <c r="K15" s="40" t="s">
        <v>88</v>
      </c>
      <c r="L15" s="46" t="s">
        <v>89</v>
      </c>
      <c r="M15" s="28">
        <v>0</v>
      </c>
    </row>
    <row r="16" spans="1:13" ht="31.9" customHeight="1" x14ac:dyDescent="0.25">
      <c r="A16" s="40">
        <v>3</v>
      </c>
      <c r="B16" s="46" t="s">
        <v>90</v>
      </c>
      <c r="C16" s="28" t="s">
        <v>110</v>
      </c>
      <c r="D16" s="45" t="s">
        <v>110</v>
      </c>
      <c r="E16" s="28">
        <v>8.33</v>
      </c>
      <c r="F16" s="33"/>
      <c r="G16" s="40">
        <v>3</v>
      </c>
      <c r="H16" s="46" t="s">
        <v>90</v>
      </c>
      <c r="I16" s="28">
        <v>8.33</v>
      </c>
      <c r="J16" s="33"/>
      <c r="K16" s="40">
        <v>3</v>
      </c>
      <c r="L16" s="46" t="s">
        <v>90</v>
      </c>
      <c r="M16" s="28">
        <v>8.33</v>
      </c>
    </row>
    <row r="17" spans="1:13" ht="21.6" customHeight="1" x14ac:dyDescent="0.25">
      <c r="A17" s="40">
        <v>4</v>
      </c>
      <c r="B17" s="46" t="s">
        <v>91</v>
      </c>
      <c r="C17" s="28">
        <v>0</v>
      </c>
      <c r="D17" s="45">
        <v>0</v>
      </c>
      <c r="E17" s="28">
        <v>0</v>
      </c>
      <c r="F17" s="33"/>
      <c r="G17" s="40">
        <v>4</v>
      </c>
      <c r="H17" s="46" t="s">
        <v>91</v>
      </c>
      <c r="I17" s="28">
        <v>0</v>
      </c>
      <c r="J17" s="33"/>
      <c r="K17" s="40">
        <v>4</v>
      </c>
      <c r="L17" s="46" t="s">
        <v>91</v>
      </c>
      <c r="M17" s="28">
        <v>0</v>
      </c>
    </row>
    <row r="18" spans="1:13" ht="21.6" customHeight="1" x14ac:dyDescent="0.25">
      <c r="A18" s="40">
        <v>5</v>
      </c>
      <c r="B18" s="46" t="s">
        <v>92</v>
      </c>
      <c r="C18" s="28">
        <f>C11+C13</f>
        <v>1439.0800000000002</v>
      </c>
      <c r="D18" s="45">
        <f>D11+D13</f>
        <v>209.55</v>
      </c>
      <c r="E18" s="28">
        <f>E11+E13+E16</f>
        <v>86.26</v>
      </c>
      <c r="F18" s="33"/>
      <c r="G18" s="40">
        <v>5</v>
      </c>
      <c r="H18" s="46" t="s">
        <v>92</v>
      </c>
      <c r="I18" s="28">
        <f>I11+I16</f>
        <v>108.86</v>
      </c>
      <c r="J18" s="33"/>
      <c r="K18" s="40">
        <v>5</v>
      </c>
      <c r="L18" s="46" t="s">
        <v>92</v>
      </c>
      <c r="M18" s="28">
        <f>M11+M13+M16</f>
        <v>108.86</v>
      </c>
    </row>
    <row r="19" spans="1:13" ht="20.45" customHeight="1" x14ac:dyDescent="0.25">
      <c r="A19" s="40">
        <v>6</v>
      </c>
      <c r="B19" s="46" t="s">
        <v>93</v>
      </c>
      <c r="C19" s="22">
        <v>6.99</v>
      </c>
      <c r="D19" s="45">
        <v>1.02</v>
      </c>
      <c r="E19" s="28">
        <v>0.36</v>
      </c>
      <c r="F19" s="33"/>
      <c r="G19" s="40">
        <v>6</v>
      </c>
      <c r="H19" s="46" t="s">
        <v>93</v>
      </c>
      <c r="I19" s="28">
        <v>0</v>
      </c>
      <c r="J19" s="33"/>
      <c r="K19" s="40">
        <v>6</v>
      </c>
      <c r="L19" s="46" t="s">
        <v>93</v>
      </c>
      <c r="M19" s="28">
        <v>0</v>
      </c>
    </row>
    <row r="20" spans="1:13" ht="39" customHeight="1" x14ac:dyDescent="0.25">
      <c r="A20" s="40">
        <v>7</v>
      </c>
      <c r="B20" s="46" t="s">
        <v>94</v>
      </c>
      <c r="C20" s="22">
        <f>C18+C19</f>
        <v>1446.0700000000002</v>
      </c>
      <c r="D20" s="23">
        <f>D18+D19</f>
        <v>210.57000000000002</v>
      </c>
      <c r="E20" s="28">
        <f>E18+E19</f>
        <v>86.62</v>
      </c>
      <c r="F20" s="33"/>
      <c r="G20" s="40">
        <v>7</v>
      </c>
      <c r="H20" s="46" t="s">
        <v>94</v>
      </c>
      <c r="I20" s="22">
        <f>I18+I19</f>
        <v>108.86</v>
      </c>
      <c r="J20" s="33"/>
      <c r="K20" s="85">
        <v>7</v>
      </c>
      <c r="L20" s="46" t="s">
        <v>94</v>
      </c>
      <c r="M20" s="22">
        <f>M18+M19</f>
        <v>108.86</v>
      </c>
    </row>
    <row r="21" spans="1:13" ht="19.149999999999999" customHeight="1" x14ac:dyDescent="0.25">
      <c r="A21" s="40">
        <v>8</v>
      </c>
      <c r="B21" s="46" t="s">
        <v>95</v>
      </c>
      <c r="C21" s="22">
        <v>0</v>
      </c>
      <c r="D21" s="23">
        <v>0</v>
      </c>
      <c r="E21" s="28">
        <v>0</v>
      </c>
      <c r="F21" s="33"/>
      <c r="G21" s="40">
        <v>8</v>
      </c>
      <c r="H21" s="46" t="s">
        <v>95</v>
      </c>
      <c r="I21" s="28">
        <v>0</v>
      </c>
      <c r="J21" s="33"/>
      <c r="K21" s="40">
        <v>8</v>
      </c>
      <c r="L21" s="46" t="s">
        <v>95</v>
      </c>
      <c r="M21" s="28">
        <v>0</v>
      </c>
    </row>
    <row r="22" spans="1:13" ht="21.6" customHeight="1" x14ac:dyDescent="0.25">
      <c r="A22" s="40" t="s">
        <v>111</v>
      </c>
      <c r="B22" s="5" t="s">
        <v>96</v>
      </c>
      <c r="C22" s="22">
        <v>0</v>
      </c>
      <c r="D22" s="23">
        <v>0</v>
      </c>
      <c r="E22" s="28">
        <v>0</v>
      </c>
      <c r="F22" s="33"/>
      <c r="G22" s="40" t="s">
        <v>111</v>
      </c>
      <c r="H22" s="5" t="s">
        <v>96</v>
      </c>
      <c r="I22" s="28">
        <f>+I21-I23</f>
        <v>0</v>
      </c>
      <c r="J22" s="33"/>
      <c r="K22" s="40" t="s">
        <v>111</v>
      </c>
      <c r="L22" s="5" t="s">
        <v>96</v>
      </c>
      <c r="M22" s="28">
        <f>+M21-M23</f>
        <v>0</v>
      </c>
    </row>
    <row r="23" spans="1:13" ht="18" customHeight="1" x14ac:dyDescent="0.25">
      <c r="A23" s="40" t="s">
        <v>112</v>
      </c>
      <c r="B23" s="5" t="s">
        <v>41</v>
      </c>
      <c r="C23" s="22">
        <v>0</v>
      </c>
      <c r="D23" s="23">
        <v>0</v>
      </c>
      <c r="E23" s="28">
        <v>0</v>
      </c>
      <c r="F23" s="33"/>
      <c r="G23" s="40" t="s">
        <v>112</v>
      </c>
      <c r="H23" s="5" t="s">
        <v>41</v>
      </c>
      <c r="I23" s="28">
        <f>0.18*I21</f>
        <v>0</v>
      </c>
      <c r="J23" s="33"/>
      <c r="K23" s="40" t="s">
        <v>112</v>
      </c>
      <c r="L23" s="5" t="s">
        <v>41</v>
      </c>
      <c r="M23" s="28">
        <f>0.18*M21</f>
        <v>0</v>
      </c>
    </row>
    <row r="24" spans="1:13" ht="17.45" customHeight="1" x14ac:dyDescent="0.25">
      <c r="A24" s="40">
        <v>9</v>
      </c>
      <c r="B24" s="46" t="s">
        <v>97</v>
      </c>
      <c r="C24" s="22">
        <f>C20+C21</f>
        <v>1446.0700000000002</v>
      </c>
      <c r="D24" s="45">
        <f>D20+D21</f>
        <v>210.57000000000002</v>
      </c>
      <c r="E24" s="28">
        <f>E20+E21</f>
        <v>86.62</v>
      </c>
      <c r="F24" s="33"/>
      <c r="G24" s="40">
        <v>9</v>
      </c>
      <c r="H24" s="46" t="s">
        <v>97</v>
      </c>
      <c r="I24" s="28">
        <f>I20+I21</f>
        <v>108.86</v>
      </c>
      <c r="J24" s="33"/>
      <c r="K24" s="40">
        <v>9</v>
      </c>
      <c r="L24" s="46" t="s">
        <v>97</v>
      </c>
      <c r="M24" s="28">
        <f>M20+M21</f>
        <v>108.86</v>
      </c>
    </row>
    <row r="25" spans="1:13" ht="22.9" customHeight="1" x14ac:dyDescent="0.25">
      <c r="A25" s="40">
        <v>10</v>
      </c>
      <c r="B25" s="46" t="s">
        <v>98</v>
      </c>
      <c r="C25" s="22">
        <f>C24*0.2</f>
        <v>289.21400000000006</v>
      </c>
      <c r="D25" s="23">
        <f>D24*0.2</f>
        <v>42.114000000000004</v>
      </c>
      <c r="E25" s="28">
        <f>E24*0.2</f>
        <v>17.324000000000002</v>
      </c>
      <c r="F25" s="33"/>
      <c r="G25" s="40">
        <v>10</v>
      </c>
      <c r="H25" s="46" t="s">
        <v>98</v>
      </c>
      <c r="I25" s="22">
        <f>ROUND(I24*20%,2)</f>
        <v>21.77</v>
      </c>
      <c r="J25" s="33"/>
      <c r="K25" s="40">
        <v>10</v>
      </c>
      <c r="L25" s="46" t="s">
        <v>98</v>
      </c>
      <c r="M25" s="22">
        <f>ROUND(M24*20%,2)</f>
        <v>21.77</v>
      </c>
    </row>
    <row r="26" spans="1:13" ht="24.6" customHeight="1" x14ac:dyDescent="0.25">
      <c r="A26" s="84">
        <v>11</v>
      </c>
      <c r="B26" s="47" t="s">
        <v>99</v>
      </c>
      <c r="C26" s="48">
        <f>C24+C25</f>
        <v>1735.2840000000001</v>
      </c>
      <c r="D26" s="23">
        <f>D24+D25</f>
        <v>252.68400000000003</v>
      </c>
      <c r="E26" s="57">
        <f>E24+E25</f>
        <v>103.944</v>
      </c>
      <c r="F26" s="33"/>
      <c r="G26" s="40">
        <v>11</v>
      </c>
      <c r="H26" s="47" t="s">
        <v>99</v>
      </c>
      <c r="I26" s="48">
        <f>I24+I25</f>
        <v>130.63</v>
      </c>
      <c r="J26" s="83"/>
      <c r="K26" s="84">
        <v>11</v>
      </c>
      <c r="L26" s="47" t="s">
        <v>99</v>
      </c>
      <c r="M26" s="48">
        <f>M24+M25</f>
        <v>130.63</v>
      </c>
    </row>
    <row r="27" spans="1:13" ht="20.45" customHeight="1" x14ac:dyDescent="0.25">
      <c r="A27" s="40" t="s">
        <v>113</v>
      </c>
      <c r="B27" s="46" t="s">
        <v>101</v>
      </c>
      <c r="C27" s="22">
        <f>C12*1.2</f>
        <v>1066.008</v>
      </c>
      <c r="D27" s="23">
        <f>D12*1.2</f>
        <v>155.28</v>
      </c>
      <c r="E27" s="28">
        <f>E12*1.2</f>
        <v>56.484000000000002</v>
      </c>
      <c r="F27" s="33"/>
      <c r="G27" s="40" t="s">
        <v>113</v>
      </c>
      <c r="H27" s="46" t="s">
        <v>101</v>
      </c>
      <c r="I27" s="22">
        <f>ROUND(I12*1.2,2)</f>
        <v>86.02</v>
      </c>
      <c r="J27" s="33"/>
      <c r="K27" s="40" t="s">
        <v>113</v>
      </c>
      <c r="L27" s="46" t="s">
        <v>101</v>
      </c>
      <c r="M27" s="22">
        <f>ROUND(M12*1.2,2)</f>
        <v>86.02</v>
      </c>
    </row>
    <row r="28" spans="1:13" ht="24" customHeight="1" x14ac:dyDescent="0.25">
      <c r="A28" s="40"/>
      <c r="B28" s="46" t="s">
        <v>117</v>
      </c>
      <c r="C28" s="22">
        <f>C27/C26%</f>
        <v>61.431327667401995</v>
      </c>
      <c r="D28" s="23">
        <f>D27/D26%</f>
        <v>61.45224865840337</v>
      </c>
      <c r="E28" s="28">
        <f>E27/E26%</f>
        <v>54.340798891710925</v>
      </c>
      <c r="F28" s="33"/>
      <c r="G28" s="40"/>
      <c r="H28" s="46" t="s">
        <v>117</v>
      </c>
      <c r="I28" s="22">
        <f>I27/I26%</f>
        <v>65.850111000535861</v>
      </c>
      <c r="J28" s="33"/>
      <c r="K28" s="40"/>
      <c r="L28" s="46" t="s">
        <v>102</v>
      </c>
      <c r="M28" s="22">
        <f>M27/M26%</f>
        <v>65.850111000535861</v>
      </c>
    </row>
    <row r="29" spans="1:13" ht="25.15" customHeight="1" x14ac:dyDescent="0.25">
      <c r="A29" s="40" t="s">
        <v>114</v>
      </c>
      <c r="B29" s="46" t="s">
        <v>104</v>
      </c>
      <c r="C29" s="22">
        <f>C26-C27</f>
        <v>669.27600000000007</v>
      </c>
      <c r="D29" s="23">
        <f>D26-D27</f>
        <v>97.404000000000025</v>
      </c>
      <c r="E29" s="28">
        <f>E26-E27</f>
        <v>47.46</v>
      </c>
      <c r="F29" s="33"/>
      <c r="G29" s="40" t="s">
        <v>114</v>
      </c>
      <c r="H29" s="46" t="s">
        <v>104</v>
      </c>
      <c r="I29" s="22">
        <f>I26-I27</f>
        <v>44.61</v>
      </c>
      <c r="J29" s="33"/>
      <c r="K29" s="40" t="s">
        <v>114</v>
      </c>
      <c r="L29" s="46" t="s">
        <v>104</v>
      </c>
      <c r="M29" s="22">
        <f>M26-M27</f>
        <v>44.61</v>
      </c>
    </row>
    <row r="30" spans="1:13" ht="16.899999999999999" customHeight="1" x14ac:dyDescent="0.25">
      <c r="A30" s="40"/>
      <c r="B30" s="46" t="s">
        <v>117</v>
      </c>
      <c r="C30" s="22">
        <f>C29/C26%</f>
        <v>38.568672332598013</v>
      </c>
      <c r="D30" s="23">
        <f>D29/D26%</f>
        <v>38.547751341596623</v>
      </c>
      <c r="E30" s="28">
        <f>E29/E26%</f>
        <v>45.659201108289082</v>
      </c>
      <c r="F30" s="33"/>
      <c r="G30" s="40"/>
      <c r="H30" s="46" t="s">
        <v>117</v>
      </c>
      <c r="I30" s="22">
        <f>I29/I26%</f>
        <v>34.149888999464132</v>
      </c>
      <c r="J30" s="33"/>
      <c r="K30" s="40"/>
      <c r="L30" s="46" t="s">
        <v>102</v>
      </c>
      <c r="M30" s="22">
        <f>M29/M26%</f>
        <v>34.149888999464132</v>
      </c>
    </row>
    <row r="31" spans="1:13" ht="54" customHeight="1" x14ac:dyDescent="0.25">
      <c r="A31" s="84">
        <v>12</v>
      </c>
      <c r="B31" s="47" t="s">
        <v>105</v>
      </c>
      <c r="C31" s="22" t="s">
        <v>106</v>
      </c>
      <c r="D31" s="82">
        <f>D32+D34</f>
        <v>42.539393939393939</v>
      </c>
      <c r="E31" s="36" t="s">
        <v>106</v>
      </c>
      <c r="F31" s="33"/>
      <c r="G31" s="40">
        <v>12</v>
      </c>
      <c r="H31" s="46" t="s">
        <v>105</v>
      </c>
      <c r="I31" s="36" t="s">
        <v>106</v>
      </c>
      <c r="J31" s="33"/>
      <c r="K31" s="40">
        <v>12</v>
      </c>
      <c r="L31" s="46" t="s">
        <v>105</v>
      </c>
      <c r="M31" s="36" t="s">
        <v>106</v>
      </c>
    </row>
    <row r="32" spans="1:13" ht="18.600000000000001" customHeight="1" x14ac:dyDescent="0.25">
      <c r="A32" s="40" t="s">
        <v>100</v>
      </c>
      <c r="B32" s="46" t="s">
        <v>101</v>
      </c>
      <c r="C32" s="22" t="s">
        <v>106</v>
      </c>
      <c r="D32" s="27">
        <f>D27/5.94</f>
        <v>26.141414141414138</v>
      </c>
      <c r="E32" s="36" t="s">
        <v>106</v>
      </c>
      <c r="F32" s="33"/>
      <c r="G32" s="40" t="s">
        <v>100</v>
      </c>
      <c r="H32" s="46" t="s">
        <v>101</v>
      </c>
      <c r="I32" s="36" t="s">
        <v>106</v>
      </c>
      <c r="J32" s="33"/>
      <c r="K32" s="40" t="s">
        <v>100</v>
      </c>
      <c r="L32" s="46" t="s">
        <v>101</v>
      </c>
      <c r="M32" s="36" t="s">
        <v>106</v>
      </c>
    </row>
    <row r="33" spans="1:13" ht="16.149999999999999" customHeight="1" x14ac:dyDescent="0.25">
      <c r="A33" s="40"/>
      <c r="B33" s="46" t="s">
        <v>102</v>
      </c>
      <c r="C33" s="22" t="s">
        <v>106</v>
      </c>
      <c r="D33" s="23">
        <f>D32/D31%</f>
        <v>61.452248658403377</v>
      </c>
      <c r="E33" s="36" t="s">
        <v>106</v>
      </c>
      <c r="F33" s="33"/>
      <c r="G33" s="40"/>
      <c r="H33" s="46" t="s">
        <v>102</v>
      </c>
      <c r="I33" s="36" t="s">
        <v>106</v>
      </c>
      <c r="J33" s="33"/>
      <c r="K33" s="40"/>
      <c r="L33" s="46" t="s">
        <v>107</v>
      </c>
      <c r="M33" s="36" t="s">
        <v>106</v>
      </c>
    </row>
    <row r="34" spans="1:13" ht="30.6" customHeight="1" x14ac:dyDescent="0.25">
      <c r="A34" s="40" t="s">
        <v>103</v>
      </c>
      <c r="B34" s="46" t="s">
        <v>104</v>
      </c>
      <c r="C34" s="22" t="s">
        <v>106</v>
      </c>
      <c r="D34" s="27">
        <f>D29/5.94</f>
        <v>16.397979797979801</v>
      </c>
      <c r="E34" s="36" t="s">
        <v>106</v>
      </c>
      <c r="F34" s="33"/>
      <c r="G34" s="40" t="s">
        <v>103</v>
      </c>
      <c r="H34" s="46" t="s">
        <v>104</v>
      </c>
      <c r="I34" s="36" t="s">
        <v>106</v>
      </c>
      <c r="J34" s="33"/>
      <c r="K34" s="40" t="s">
        <v>103</v>
      </c>
      <c r="L34" s="46" t="s">
        <v>104</v>
      </c>
      <c r="M34" s="36" t="s">
        <v>106</v>
      </c>
    </row>
    <row r="35" spans="1:13" ht="18" customHeight="1" x14ac:dyDescent="0.25">
      <c r="A35" s="40"/>
      <c r="B35" s="46" t="s">
        <v>102</v>
      </c>
      <c r="C35" s="22" t="s">
        <v>106</v>
      </c>
      <c r="D35" s="23">
        <f>D34/D31%</f>
        <v>38.54775134159663</v>
      </c>
      <c r="E35" s="95" t="s">
        <v>106</v>
      </c>
      <c r="F35" s="33"/>
      <c r="G35" s="40"/>
      <c r="H35" s="46" t="s">
        <v>102</v>
      </c>
      <c r="I35" s="36" t="s">
        <v>106</v>
      </c>
      <c r="J35" s="33"/>
      <c r="K35" s="40"/>
      <c r="L35" s="46" t="s">
        <v>107</v>
      </c>
      <c r="M35" s="36" t="s">
        <v>106</v>
      </c>
    </row>
    <row r="36" spans="1:13" ht="33" customHeight="1" thickBot="1" x14ac:dyDescent="0.3">
      <c r="A36" s="49">
        <v>13</v>
      </c>
      <c r="B36" s="50" t="s">
        <v>108</v>
      </c>
      <c r="C36" s="51">
        <v>180</v>
      </c>
      <c r="D36" s="94">
        <v>180</v>
      </c>
      <c r="E36" s="96" t="s">
        <v>106</v>
      </c>
      <c r="F36" s="33"/>
      <c r="G36" s="49">
        <v>13</v>
      </c>
      <c r="H36" s="50" t="s">
        <v>108</v>
      </c>
      <c r="I36" s="52" t="s">
        <v>106</v>
      </c>
      <c r="J36" s="33"/>
      <c r="K36" s="49">
        <v>13</v>
      </c>
      <c r="L36" s="50" t="s">
        <v>108</v>
      </c>
      <c r="M36" s="52" t="s">
        <v>106</v>
      </c>
    </row>
    <row r="37" spans="1:13" s="4" customFormat="1" ht="29.25" customHeight="1" x14ac:dyDescent="0.25">
      <c r="A37" s="16"/>
      <c r="B37" s="16"/>
      <c r="C37" s="21"/>
      <c r="D37" s="16"/>
      <c r="E37" s="54"/>
      <c r="F37" s="54"/>
      <c r="G37" s="16"/>
      <c r="H37" s="16"/>
      <c r="I37" s="21"/>
      <c r="J37" s="16"/>
      <c r="K37" s="53"/>
      <c r="L37" s="54"/>
      <c r="M37" s="54"/>
    </row>
    <row r="38" spans="1:13" s="4" customFormat="1" ht="15.75" customHeight="1" x14ac:dyDescent="0.25">
      <c r="A38" s="110" t="s">
        <v>129</v>
      </c>
      <c r="B38" s="110"/>
      <c r="C38" s="16"/>
      <c r="D38" s="16"/>
      <c r="E38" s="91"/>
      <c r="F38" s="54"/>
      <c r="G38" s="110" t="s">
        <v>129</v>
      </c>
      <c r="H38" s="110"/>
      <c r="I38" s="75"/>
      <c r="J38" s="16"/>
      <c r="K38" s="53"/>
      <c r="L38" s="17"/>
      <c r="M38" s="16"/>
    </row>
    <row r="39" spans="1:13" s="4" customFormat="1" ht="15.75" customHeight="1" x14ac:dyDescent="0.25">
      <c r="A39" s="110"/>
      <c r="B39" s="110"/>
      <c r="C39" s="17"/>
      <c r="D39" s="18"/>
      <c r="G39" s="110"/>
      <c r="H39" s="110"/>
      <c r="I39" s="75"/>
      <c r="J39" s="18"/>
    </row>
    <row r="40" spans="1:13" ht="36" customHeight="1" x14ac:dyDescent="0.25">
      <c r="A40" s="110"/>
      <c r="B40" s="110"/>
      <c r="C40" s="16"/>
      <c r="D40" s="16"/>
      <c r="G40" s="110"/>
      <c r="H40" s="110"/>
      <c r="I40" s="75"/>
      <c r="J40" s="16"/>
    </row>
    <row r="41" spans="1:13" x14ac:dyDescent="0.25">
      <c r="A41" s="110"/>
      <c r="B41" s="110"/>
      <c r="G41" s="110"/>
      <c r="H41" s="110"/>
    </row>
    <row r="42" spans="1:13" ht="18.75" x14ac:dyDescent="0.3">
      <c r="A42" s="110"/>
      <c r="B42" s="110"/>
      <c r="E42" s="92" t="s">
        <v>132</v>
      </c>
      <c r="G42" s="110"/>
      <c r="H42" s="110"/>
      <c r="M42" s="92" t="s">
        <v>132</v>
      </c>
    </row>
  </sheetData>
  <mergeCells count="17">
    <mergeCell ref="A38:B42"/>
    <mergeCell ref="G38:H42"/>
    <mergeCell ref="D1:E1"/>
    <mergeCell ref="I1:M1"/>
    <mergeCell ref="I5:I6"/>
    <mergeCell ref="K5:K9"/>
    <mergeCell ref="L5:L9"/>
    <mergeCell ref="M5:M6"/>
    <mergeCell ref="G3:M3"/>
    <mergeCell ref="A3:E3"/>
    <mergeCell ref="A5:A9"/>
    <mergeCell ref="B5:B9"/>
    <mergeCell ref="C5:D5"/>
    <mergeCell ref="C6:C8"/>
    <mergeCell ref="E5:E6"/>
    <mergeCell ref="G5:G9"/>
    <mergeCell ref="H5:H9"/>
  </mergeCells>
  <phoneticPr fontId="18" type="noConversion"/>
  <conditionalFormatting sqref="I10 M10 E10">
    <cfRule type="cellIs" dxfId="0" priority="3" operator="equal">
      <formula>0</formula>
    </cfRule>
  </conditionalFormatting>
  <pageMargins left="0.39370078740157483" right="0.39370078740157483" top="0.74803149606299213" bottom="0.74803149606299213" header="0.31496062992125984" footer="0.31496062992125984"/>
  <pageSetup paperSize="9" scale="64" fitToWidth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2-3 ТЕ</vt:lpstr>
      <vt:lpstr>4-5 ВИРОБ</vt:lpstr>
      <vt:lpstr>6-7 ТРАНС</vt:lpstr>
      <vt:lpstr>8-9 ПОСТ</vt:lpstr>
      <vt:lpstr>10-11 послуга</vt:lpstr>
      <vt:lpstr>'6-7 ТРАНС'!Print_Area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</dc:creator>
  <cp:lastModifiedBy>vlad filonenko</cp:lastModifiedBy>
  <cp:lastPrinted>2018-10-05T10:55:50Z</cp:lastPrinted>
  <dcterms:created xsi:type="dcterms:W3CDTF">2018-08-15T11:45:07Z</dcterms:created>
  <dcterms:modified xsi:type="dcterms:W3CDTF">2023-05-10T13:17:33Z</dcterms:modified>
</cp:coreProperties>
</file>